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670839F-63E9-44D2-A885-32BE40629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_koinwest." sheetId="2" r:id="rId1"/>
  </sheets>
  <definedNames>
    <definedName name="_xlnm.Print_Area" localSheetId="0">Harmonogram_koinwest.!$A$1:$R$74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2" l="1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42" i="2"/>
  <c r="H42" i="2"/>
  <c r="G42" i="2"/>
  <c r="F42" i="2"/>
  <c r="E42" i="2"/>
  <c r="D42" i="2"/>
  <c r="C42" i="2"/>
  <c r="B42" i="2"/>
  <c r="R39" i="2"/>
  <c r="Q74" i="2"/>
  <c r="Q52" i="2" s="1"/>
  <c r="Q48" i="2" s="1"/>
  <c r="P74" i="2"/>
  <c r="P52" i="2" s="1"/>
  <c r="P48" i="2" s="1"/>
  <c r="O74" i="2"/>
  <c r="O52" i="2" s="1"/>
  <c r="O48" i="2" s="1"/>
  <c r="N74" i="2"/>
  <c r="N52" i="2" s="1"/>
  <c r="N48" i="2" s="1"/>
  <c r="M74" i="2"/>
  <c r="M52" i="2" s="1"/>
  <c r="M48" i="2" s="1"/>
  <c r="L74" i="2"/>
  <c r="L52" i="2" s="1"/>
  <c r="L48" i="2" s="1"/>
  <c r="K74" i="2"/>
  <c r="K52" i="2" s="1"/>
  <c r="K48" i="2" s="1"/>
  <c r="J74" i="2"/>
  <c r="J52" i="2" s="1"/>
  <c r="J48" i="2" s="1"/>
  <c r="I74" i="2"/>
  <c r="I52" i="2" s="1"/>
  <c r="I48" i="2" s="1"/>
  <c r="H74" i="2"/>
  <c r="H52" i="2" s="1"/>
  <c r="H48" i="2" s="1"/>
  <c r="G74" i="2"/>
  <c r="G52" i="2" s="1"/>
  <c r="G48" i="2" s="1"/>
  <c r="F74" i="2"/>
  <c r="F52" i="2" s="1"/>
  <c r="F48" i="2" s="1"/>
  <c r="E74" i="2"/>
  <c r="E52" i="2" s="1"/>
  <c r="E48" i="2" s="1"/>
  <c r="D74" i="2"/>
  <c r="D52" i="2" s="1"/>
  <c r="D48" i="2" s="1"/>
  <c r="C74" i="2"/>
  <c r="C52" i="2" s="1"/>
  <c r="C48" i="2" s="1"/>
  <c r="B74" i="2"/>
  <c r="B52" i="2" s="1"/>
  <c r="R53" i="2"/>
  <c r="R51" i="2"/>
  <c r="R50" i="2"/>
  <c r="R49" i="2"/>
  <c r="R32" i="2"/>
  <c r="R26" i="2"/>
  <c r="S5" i="2" s="1"/>
  <c r="R24" i="2"/>
  <c r="M22" i="2"/>
  <c r="L22" i="2"/>
  <c r="K22" i="2"/>
  <c r="J22" i="2"/>
  <c r="I22" i="2"/>
  <c r="H22" i="2"/>
  <c r="G22" i="2"/>
  <c r="F22" i="2"/>
  <c r="E22" i="2"/>
  <c r="D22" i="2"/>
  <c r="C22" i="2"/>
  <c r="B22" i="2"/>
  <c r="B28" i="2" s="1"/>
  <c r="R21" i="2"/>
  <c r="G2" i="2"/>
  <c r="G9" i="2" s="1"/>
  <c r="H9" i="2" s="1"/>
  <c r="J37" i="2" l="1"/>
  <c r="K37" i="2"/>
  <c r="L37" i="2"/>
  <c r="M37" i="2"/>
  <c r="N37" i="2"/>
  <c r="O37" i="2"/>
  <c r="P37" i="2"/>
  <c r="Q37" i="2"/>
  <c r="I37" i="2"/>
  <c r="E37" i="2"/>
  <c r="F37" i="2"/>
  <c r="G37" i="2"/>
  <c r="H37" i="2"/>
  <c r="C37" i="2"/>
  <c r="D37" i="2"/>
  <c r="B37" i="2"/>
  <c r="R5" i="2"/>
  <c r="H5" i="2"/>
  <c r="C28" i="2"/>
  <c r="H3" i="2"/>
  <c r="R2" i="2" s="1"/>
  <c r="R52" i="2"/>
  <c r="B48" i="2"/>
  <c r="R22" i="2"/>
  <c r="S4" i="2" s="1"/>
  <c r="H4" i="2"/>
  <c r="H2" i="2"/>
  <c r="D28" i="2" l="1"/>
  <c r="E28" i="2" s="1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R3" i="2"/>
  <c r="S3" i="2"/>
  <c r="S2" i="2"/>
  <c r="R4" i="2"/>
  <c r="R48" i="2"/>
  <c r="S53" i="2" s="1"/>
  <c r="B54" i="2"/>
  <c r="C54" i="2" s="1"/>
  <c r="D54" i="2" s="1"/>
  <c r="E54" i="2" s="1"/>
  <c r="F54" i="2" s="1"/>
  <c r="G54" i="2" s="1"/>
  <c r="H54" i="2" s="1"/>
  <c r="I54" i="2" s="1"/>
  <c r="J54" i="2" s="1"/>
  <c r="K54" i="2" s="1"/>
  <c r="L54" i="2" s="1"/>
  <c r="M54" i="2" s="1"/>
  <c r="N54" i="2" s="1"/>
  <c r="O54" i="2" s="1"/>
  <c r="P54" i="2" s="1"/>
  <c r="Q54" i="2" s="1"/>
  <c r="R54" i="2" s="1"/>
  <c r="G12" i="2"/>
  <c r="R37" i="2"/>
  <c r="R6" i="2" l="1"/>
  <c r="B75" i="2"/>
  <c r="H12" i="2"/>
  <c r="R8" i="2" l="1"/>
  <c r="R7" i="2" l="1"/>
  <c r="R9" i="2"/>
  <c r="G10" i="2"/>
  <c r="H10" i="2"/>
  <c r="R10" i="2"/>
  <c r="G11" i="2"/>
  <c r="H11" i="2"/>
  <c r="G13" i="2"/>
  <c r="H13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B23" i="2"/>
  <c r="C23" i="2"/>
  <c r="D23" i="2"/>
  <c r="E23" i="2"/>
  <c r="F23" i="2"/>
  <c r="G23" i="2"/>
  <c r="H23" i="2"/>
  <c r="I23" i="2"/>
  <c r="R23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</calcChain>
</file>

<file path=xl/sharedStrings.xml><?xml version="1.0" encoding="utf-8"?>
<sst xmlns="http://schemas.openxmlformats.org/spreadsheetml/2006/main" count="120" uniqueCount="92">
  <si>
    <t>n.a.</t>
  </si>
  <si>
    <t>PFR Biznest</t>
  </si>
  <si>
    <t>Schedule 4 Financial Schedule</t>
  </si>
  <si>
    <t>Key Persons</t>
  </si>
  <si>
    <t>Other Team members</t>
  </si>
  <si>
    <t>How to fill out the table:</t>
  </si>
  <si>
    <t>1. Activate iterative calculation. (File -&gt; Options -&gt; Formulas -&gt; Iterative calculation).</t>
  </si>
  <si>
    <t>3. Fields highlighted in orange should be filled out by the Tenderer.</t>
  </si>
  <si>
    <t>2. Select the appropriate operating model for the VC Fund in accordance with Section 15 of the Term Sheet</t>
  </si>
  <si>
    <t>Declared Capitalization of VC Fund, including:</t>
  </si>
  <si>
    <t>Share</t>
  </si>
  <si>
    <t>VC Fund operating model (according to Section 15 of the Term Sheet):</t>
  </si>
  <si>
    <t xml:space="preserve">   Investment Budget</t>
  </si>
  <si>
    <t>Operating Budget (Management fee in Investment Horizon)</t>
  </si>
  <si>
    <t>Management fee – fixed remuneration</t>
  </si>
  <si>
    <t>Management fee – variable remuneration</t>
  </si>
  <si>
    <t>Key Persons' contribution, min. 2% of Declared Capitalization of VC Fund</t>
  </si>
  <si>
    <t>Contribution of PFR Biznest, max 98% Declared Capitalization of VC Fund</t>
  </si>
  <si>
    <t>Investment expenditure is equal to 100% of the Investment Budget</t>
  </si>
  <si>
    <t>Follow-on Investments represent not more than 60% of the Investment Budget</t>
  </si>
  <si>
    <t>Investment pace pursuant to Section 16 Term Sheet</t>
  </si>
  <si>
    <t>22% Rolling limit (only VC Funds reffered to in Section  15(1)(a) and (2) Term Sheet)</t>
  </si>
  <si>
    <t>15% Rolling limit (only VC Funds reffered to in Section  15(1)(b) and (c) Term Sheet)</t>
  </si>
  <si>
    <t>Total Investment Expenses and Management Fees = Declared Capitalization</t>
  </si>
  <si>
    <t>Total investment exits (in the purchase price) &lt;= total investment entries</t>
  </si>
  <si>
    <t>Control Table</t>
  </si>
  <si>
    <t>Number of First Investments executed in a given period (except for Follow-on Investments)</t>
  </si>
  <si>
    <t>Investment expenditure (as % of the Investment Budget – in %) in a given period</t>
  </si>
  <si>
    <t>- including First Investments (in amounts) in a given period</t>
  </si>
  <si>
    <t>- including First Investments (as % of the Investment Budget – in %) in a given period</t>
  </si>
  <si>
    <t>- including Follow-on Investments (in amounts) in a given period</t>
  </si>
  <si>
    <t>- including Follow-on Investments (as % of the Investment Budget – in %) in a given period</t>
  </si>
  <si>
    <t>Cumulative value of investment expenditure</t>
  </si>
  <si>
    <t>% of the invested Investment Budget cumulatively</t>
  </si>
  <si>
    <t>Average investment ticket of First Investments in a given period</t>
  </si>
  <si>
    <t xml:space="preserve">Investment expenditure </t>
  </si>
  <si>
    <t>I year</t>
  </si>
  <si>
    <t xml:space="preserve">II year </t>
  </si>
  <si>
    <t>III year</t>
  </si>
  <si>
    <t>IV year</t>
  </si>
  <si>
    <t>V year</t>
  </si>
  <si>
    <t>VI year</t>
  </si>
  <si>
    <t>VII year</t>
  </si>
  <si>
    <t>VIII year</t>
  </si>
  <si>
    <t>1st semester</t>
  </si>
  <si>
    <t>2nd semester</t>
  </si>
  <si>
    <t>Investment Period*</t>
  </si>
  <si>
    <t>Investment horizon</t>
  </si>
  <si>
    <t>Investment exit period**</t>
  </si>
  <si>
    <t>Value of investment exits (at purchase amount) in a given period</t>
  </si>
  <si>
    <t>Value of investment exits (at purchase amount) as % of the Investment Budget (in %) in a given period</t>
  </si>
  <si>
    <t>Value of investment exits (at purchase amount) cumulatively</t>
  </si>
  <si>
    <t>Net investment expenditure cumulatively, i.e. the value of investment expenditure culumatively less the value of investment exits (at purchase amount) culumatively</t>
  </si>
  <si>
    <t>Proceeds from management fees***, including:</t>
  </si>
  <si>
    <t xml:space="preserve"> - Fixed remuneration (paid in advance)</t>
  </si>
  <si>
    <t xml:space="preserve"> - Variable remuneration (paid in arrears)</t>
  </si>
  <si>
    <t>Fixed remuneration (% in a period)</t>
  </si>
  <si>
    <t>Variable remuneration (% in a period)</t>
  </si>
  <si>
    <t>Fixed remunaration (amount) - (only VC Funds reffered to in Section 15(1)(b) and (c) Term Sheet)</t>
  </si>
  <si>
    <t>Proceeds from management fees***, cumulatively</t>
  </si>
  <si>
    <t xml:space="preserve"> - Remunaration from Co-investors ( incl. transaction fees, management fees, etc.) [PLN ‘000]</t>
  </si>
  <si>
    <t>Proceeds from management fees***, cumulatively (excl. Business Angels)</t>
  </si>
  <si>
    <t>Administrative expenses (including office, accounting, business trips/ telecommunications, other) [PLN ‘000]</t>
  </si>
  <si>
    <t>Cost of Investment preparation, execution and supervision [PLN '000]</t>
  </si>
  <si>
    <t>Fund liquidation costs [PLN ‘000]</t>
  </si>
  <si>
    <t>Remuneration (including social insurance and other benefits), including:</t>
  </si>
  <si>
    <t>Other expenses (including marketing, taxes, notarial fees, fiscal fees other) [PLN '000]</t>
  </si>
  <si>
    <t>Other operating expenses****, including:</t>
  </si>
  <si>
    <t>Operating expenses cumulatively</t>
  </si>
  <si>
    <t>Coverage of operating expenses by management fee</t>
  </si>
  <si>
    <t>4. Table with fields L1:R10 confirms, whether the table has been correctly filled out in line with several required criteria.</t>
  </si>
  <si>
    <t>[PLN ‘000]</t>
  </si>
  <si>
    <t xml:space="preserve">* - Base Investment Period is 4 years, which may be extended pursuant to section 17 of the Term-Sheet (Appendix No. 7 to the Rules for the Submission and Selection of Tenders), however, for the purposes of the financial schedule, a maximum 4-year Investment Period should be assumed </t>
  </si>
  <si>
    <t xml:space="preserve">** - Base Exit Period is 4 years, which may be extended by 1 or 2 years pursuant to section 17 of the Term-Sheet (Appendix No. 7 to the Rules for the Submission and Selection of Tenders), however, for the purposes of the financial schedule, a maximum 4-year Exit Period should be assumed </t>
  </si>
  <si>
    <t>**** - Operating expenses should be given for both, VC Fund and the Managing Entity</t>
  </si>
  <si>
    <t>*** Ratio of management fee to the contributions made to VC Fund must not exceed 22% for the VC Funds referred to in Section 15, (1a) and (2) of the Term Sheet, or 15% of the funds paid to Portfolio Companies for the VC Funds referred to in Section 15, (1b) and (1c) of the Term Sheet</t>
  </si>
  <si>
    <t xml:space="preserve">Employment (as per positions and roles, including Key Persons, Investment Committee and other members of the Operating Team) </t>
  </si>
  <si>
    <t>Monthly remuneration for a given position (cost of the Managing Entity) [PLN '000]</t>
  </si>
  <si>
    <t>Key Person 1 (enter first and last name)</t>
  </si>
  <si>
    <t>Key Person 2 (enter first and last name)</t>
  </si>
  <si>
    <t>Key Person 3 (enter first and last name)</t>
  </si>
  <si>
    <t>Key Person 4 (enter first and last name)</t>
  </si>
  <si>
    <t>Key Person 5 (enter first and last name)</t>
  </si>
  <si>
    <t>Position 1 (enter position name)</t>
  </si>
  <si>
    <t>Position 2 (enter position name)</t>
  </si>
  <si>
    <t>Position 3 (enter position name)</t>
  </si>
  <si>
    <t>Position 4 (enter position name)</t>
  </si>
  <si>
    <t>Position 5 (enter position name)</t>
  </si>
  <si>
    <t>Position 6 (enter position name)</t>
  </si>
  <si>
    <t>Monthly remuneration of the Team in the period (General Partner's cost)</t>
  </si>
  <si>
    <t>KP remuneration / total expenses</t>
  </si>
  <si>
    <t>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</si>
</sst>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C00000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8" borderId="0" applyNumberFormat="0" applyBorder="0" applyAlignment="0" applyProtection="0"/>
  </cellStyleXfs>
  <cellXfs count="243">
    <xf numFmtId="0" fontId="0" fillId="0" borderId="0" xfId="0"/>
    <xf numFmtId="0" fontId="7" fillId="0" borderId="0" xfId="0" applyFont="1"/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9" fontId="4" fillId="2" borderId="0" xfId="1" applyFont="1" applyFill="1" applyAlignment="1">
      <alignment horizontal="right" vertical="center" wrapText="1"/>
    </xf>
    <xf numFmtId="0" fontId="6" fillId="0" borderId="0" xfId="0" applyFont="1"/>
    <xf numFmtId="0" fontId="10" fillId="0" borderId="0" xfId="0" applyFont="1"/>
    <xf numFmtId="3" fontId="10" fillId="0" borderId="0" xfId="0" applyNumberFormat="1" applyFont="1"/>
    <xf numFmtId="3" fontId="9" fillId="5" borderId="0" xfId="0" applyNumberFormat="1" applyFont="1" applyFill="1"/>
    <xf numFmtId="0" fontId="11" fillId="6" borderId="0" xfId="0" applyFont="1" applyFill="1"/>
    <xf numFmtId="0" fontId="2" fillId="2" borderId="13" xfId="0" applyFont="1" applyFill="1" applyBorder="1" applyAlignment="1">
      <alignment horizontal="left" vertical="center" indent="2"/>
    </xf>
    <xf numFmtId="0" fontId="14" fillId="0" borderId="14" xfId="0" applyFont="1" applyBorder="1"/>
    <xf numFmtId="0" fontId="0" fillId="0" borderId="15" xfId="0" applyBorder="1"/>
    <xf numFmtId="0" fontId="0" fillId="0" borderId="13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8" xfId="0" applyBorder="1"/>
    <xf numFmtId="0" fontId="3" fillId="2" borderId="14" xfId="0" applyFont="1" applyFill="1" applyBorder="1" applyAlignment="1">
      <alignment horizontal="left" vertical="center"/>
    </xf>
    <xf numFmtId="0" fontId="0" fillId="0" borderId="13" xfId="0" applyBorder="1"/>
    <xf numFmtId="0" fontId="2" fillId="2" borderId="7" xfId="0" applyFont="1" applyFill="1" applyBorder="1" applyAlignment="1">
      <alignment horizontal="left" vertical="center" indent="2"/>
    </xf>
    <xf numFmtId="0" fontId="16" fillId="5" borderId="8" xfId="0" applyFont="1" applyFill="1" applyBorder="1" applyAlignment="1">
      <alignment horizontal="left" vertical="top" wrapText="1"/>
    </xf>
    <xf numFmtId="0" fontId="18" fillId="6" borderId="2" xfId="0" applyFont="1" applyFill="1" applyBorder="1"/>
    <xf numFmtId="0" fontId="2" fillId="0" borderId="13" xfId="0" applyFont="1" applyBorder="1" applyAlignment="1">
      <alignment horizontal="left" vertical="center" indent="1"/>
    </xf>
    <xf numFmtId="0" fontId="20" fillId="0" borderId="0" xfId="0" applyFont="1"/>
    <xf numFmtId="3" fontId="0" fillId="0" borderId="8" xfId="0" applyNumberFormat="1" applyBorder="1"/>
    <xf numFmtId="3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3" fontId="2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164" fontId="2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indent="1"/>
    </xf>
    <xf numFmtId="164" fontId="4" fillId="2" borderId="0" xfId="1" applyNumberFormat="1" applyFont="1" applyFill="1" applyAlignment="1">
      <alignment horizontal="right" vertical="center" wrapText="1"/>
    </xf>
    <xf numFmtId="0" fontId="2" fillId="2" borderId="13" xfId="0" quotePrefix="1" applyFont="1" applyFill="1" applyBorder="1" applyAlignment="1">
      <alignment horizontal="left" vertical="center" indent="2"/>
    </xf>
    <xf numFmtId="0" fontId="2" fillId="2" borderId="13" xfId="0" applyFont="1" applyFill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6" borderId="0" xfId="0" applyNumberFormat="1" applyFont="1" applyFill="1" applyAlignment="1">
      <alignment vertical="center"/>
    </xf>
    <xf numFmtId="164" fontId="2" fillId="6" borderId="0" xfId="1" applyNumberFormat="1" applyFont="1" applyFill="1" applyAlignment="1">
      <alignment vertical="center"/>
    </xf>
    <xf numFmtId="0" fontId="3" fillId="2" borderId="17" xfId="0" applyFont="1" applyFill="1" applyBorder="1" applyAlignment="1">
      <alignment vertical="center"/>
    </xf>
    <xf numFmtId="3" fontId="3" fillId="2" borderId="22" xfId="0" applyNumberFormat="1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1" fontId="3" fillId="2" borderId="25" xfId="1" applyNumberFormat="1" applyFont="1" applyFill="1" applyBorder="1" applyAlignment="1">
      <alignment horizontal="right" vertical="center" wrapText="1"/>
    </xf>
    <xf numFmtId="0" fontId="16" fillId="0" borderId="14" xfId="0" applyFont="1" applyBorder="1"/>
    <xf numFmtId="0" fontId="20" fillId="0" borderId="15" xfId="0" applyFont="1" applyBorder="1"/>
    <xf numFmtId="0" fontId="16" fillId="0" borderId="13" xfId="0" applyFont="1" applyBorder="1"/>
    <xf numFmtId="0" fontId="2" fillId="0" borderId="13" xfId="0" quotePrefix="1" applyFont="1" applyBorder="1" applyAlignment="1">
      <alignment horizontal="left" vertical="center" indent="2"/>
    </xf>
    <xf numFmtId="0" fontId="20" fillId="0" borderId="13" xfId="0" applyFont="1" applyBorder="1" applyAlignment="1">
      <alignment horizontal="left" vertical="center" indent="1"/>
    </xf>
    <xf numFmtId="0" fontId="19" fillId="0" borderId="13" xfId="0" applyFont="1" applyBorder="1" applyAlignment="1">
      <alignment horizontal="left" vertical="center" indent="2"/>
    </xf>
    <xf numFmtId="0" fontId="21" fillId="6" borderId="1" xfId="0" applyFont="1" applyFill="1" applyBorder="1"/>
    <xf numFmtId="3" fontId="8" fillId="2" borderId="8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horizontal="right" vertical="center" wrapText="1"/>
    </xf>
    <xf numFmtId="3" fontId="3" fillId="2" borderId="24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indent="1"/>
    </xf>
    <xf numFmtId="0" fontId="8" fillId="0" borderId="7" xfId="0" applyFont="1" applyBorder="1" applyAlignment="1">
      <alignment horizontal="left" vertical="center"/>
    </xf>
    <xf numFmtId="3" fontId="14" fillId="0" borderId="15" xfId="0" applyNumberFormat="1" applyFont="1" applyBorder="1"/>
    <xf numFmtId="164" fontId="2" fillId="2" borderId="0" xfId="1" applyNumberFormat="1" applyFont="1" applyFill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indent="1"/>
    </xf>
    <xf numFmtId="3" fontId="2" fillId="2" borderId="9" xfId="0" applyNumberFormat="1" applyFont="1" applyFill="1" applyBorder="1" applyAlignment="1">
      <alignment vertical="center"/>
    </xf>
    <xf numFmtId="0" fontId="15" fillId="6" borderId="1" xfId="0" applyFont="1" applyFill="1" applyBorder="1"/>
    <xf numFmtId="0" fontId="12" fillId="6" borderId="2" xfId="0" applyFont="1" applyFill="1" applyBorder="1"/>
    <xf numFmtId="0" fontId="0" fillId="6" borderId="2" xfId="0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2" borderId="16" xfId="0" applyNumberFormat="1" applyFont="1" applyFill="1" applyBorder="1" applyAlignment="1">
      <alignment horizontal="right" vertical="center" wrapText="1"/>
    </xf>
    <xf numFmtId="164" fontId="0" fillId="0" borderId="16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2" fillId="6" borderId="0" xfId="0" applyFont="1" applyFill="1" applyAlignment="1">
      <alignment vertical="center"/>
    </xf>
    <xf numFmtId="0" fontId="2" fillId="6" borderId="5" xfId="0" applyFont="1" applyFill="1" applyBorder="1" applyAlignment="1">
      <alignment vertical="center"/>
    </xf>
    <xf numFmtId="3" fontId="3" fillId="2" borderId="26" xfId="0" applyNumberFormat="1" applyFont="1" applyFill="1" applyBorder="1" applyAlignment="1">
      <alignment vertical="center"/>
    </xf>
    <xf numFmtId="0" fontId="18" fillId="5" borderId="2" xfId="0" applyFont="1" applyFill="1" applyBorder="1"/>
    <xf numFmtId="0" fontId="16" fillId="5" borderId="16" xfId="0" applyFont="1" applyFill="1" applyBorder="1" applyAlignment="1">
      <alignment horizontal="right"/>
    </xf>
    <xf numFmtId="164" fontId="20" fillId="5" borderId="16" xfId="0" applyNumberFormat="1" applyFont="1" applyFill="1" applyBorder="1"/>
    <xf numFmtId="0" fontId="16" fillId="5" borderId="5" xfId="0" applyFont="1" applyFill="1" applyBorder="1" applyAlignment="1">
      <alignment horizontal="right"/>
    </xf>
    <xf numFmtId="164" fontId="0" fillId="5" borderId="5" xfId="0" applyNumberFormat="1" applyFill="1" applyBorder="1"/>
    <xf numFmtId="164" fontId="20" fillId="5" borderId="5" xfId="0" applyNumberFormat="1" applyFont="1" applyFill="1" applyBorder="1"/>
    <xf numFmtId="164" fontId="13" fillId="5" borderId="5" xfId="0" applyNumberFormat="1" applyFont="1" applyFill="1" applyBorder="1"/>
    <xf numFmtId="0" fontId="0" fillId="5" borderId="5" xfId="0" applyFill="1" applyBorder="1"/>
    <xf numFmtId="164" fontId="0" fillId="5" borderId="0" xfId="0" applyNumberFormat="1" applyFill="1" applyAlignment="1">
      <alignment horizontal="right" vertical="center"/>
    </xf>
    <xf numFmtId="0" fontId="0" fillId="5" borderId="0" xfId="0" applyFill="1"/>
    <xf numFmtId="0" fontId="6" fillId="3" borderId="1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wrapText="1"/>
    </xf>
    <xf numFmtId="0" fontId="5" fillId="7" borderId="30" xfId="0" applyFont="1" applyFill="1" applyBorder="1" applyAlignment="1">
      <alignment horizontal="center" wrapText="1"/>
    </xf>
    <xf numFmtId="3" fontId="3" fillId="2" borderId="27" xfId="0" applyNumberFormat="1" applyFont="1" applyFill="1" applyBorder="1" applyAlignment="1">
      <alignment vertical="center"/>
    </xf>
    <xf numFmtId="3" fontId="3" fillId="2" borderId="28" xfId="0" applyNumberFormat="1" applyFont="1" applyFill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3" fontId="3" fillId="0" borderId="11" xfId="0" applyNumberFormat="1" applyFont="1" applyBorder="1" applyAlignment="1">
      <alignment vertical="center"/>
    </xf>
    <xf numFmtId="3" fontId="3" fillId="2" borderId="31" xfId="0" applyNumberFormat="1" applyFont="1" applyFill="1" applyBorder="1" applyAlignment="1">
      <alignment vertical="center"/>
    </xf>
    <xf numFmtId="3" fontId="3" fillId="2" borderId="32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3" fontId="3" fillId="2" borderId="18" xfId="0" applyNumberFormat="1" applyFont="1" applyFill="1" applyBorder="1" applyAlignment="1">
      <alignment vertical="center"/>
    </xf>
    <xf numFmtId="3" fontId="3" fillId="2" borderId="25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9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 indent="1"/>
    </xf>
    <xf numFmtId="0" fontId="8" fillId="2" borderId="5" xfId="0" applyFont="1" applyFill="1" applyBorder="1" applyAlignment="1">
      <alignment horizontal="right" vertical="center" indent="1"/>
    </xf>
    <xf numFmtId="164" fontId="2" fillId="0" borderId="13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165" fontId="2" fillId="0" borderId="13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2" fillId="0" borderId="5" xfId="2" applyNumberFormat="1" applyFont="1" applyFill="1" applyBorder="1" applyAlignment="1">
      <alignment vertical="center"/>
    </xf>
    <xf numFmtId="164" fontId="2" fillId="0" borderId="0" xfId="1" applyNumberFormat="1" applyFont="1" applyFill="1" applyAlignment="1">
      <alignment vertical="center"/>
    </xf>
    <xf numFmtId="165" fontId="2" fillId="2" borderId="4" xfId="2" applyNumberFormat="1" applyFont="1" applyFill="1" applyBorder="1" applyAlignment="1">
      <alignment horizontal="right" vertical="center" wrapText="1"/>
    </xf>
    <xf numFmtId="10" fontId="2" fillId="2" borderId="4" xfId="1" applyNumberFormat="1" applyFont="1" applyFill="1" applyBorder="1" applyAlignment="1">
      <alignment horizontal="right" vertical="center" wrapText="1"/>
    </xf>
    <xf numFmtId="10" fontId="3" fillId="0" borderId="26" xfId="1" applyNumberFormat="1" applyFont="1" applyBorder="1" applyAlignment="1">
      <alignment vertical="center"/>
    </xf>
    <xf numFmtId="10" fontId="3" fillId="0" borderId="28" xfId="1" applyNumberFormat="1" applyFont="1" applyBorder="1" applyAlignment="1">
      <alignment vertical="center"/>
    </xf>
    <xf numFmtId="0" fontId="19" fillId="0" borderId="0" xfId="0" applyFont="1" applyAlignment="1">
      <alignment horizontal="left" vertical="center" indent="2"/>
    </xf>
    <xf numFmtId="10" fontId="16" fillId="0" borderId="0" xfId="1" applyNumberFormat="1" applyFont="1" applyBorder="1" applyAlignment="1">
      <alignment vertical="center"/>
    </xf>
    <xf numFmtId="10" fontId="16" fillId="0" borderId="5" xfId="1" applyNumberFormat="1" applyFont="1" applyBorder="1" applyAlignment="1">
      <alignment vertical="center"/>
    </xf>
    <xf numFmtId="10" fontId="16" fillId="0" borderId="13" xfId="1" applyNumberFormat="1" applyFont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2" borderId="15" xfId="0" applyNumberFormat="1" applyFont="1" applyFill="1" applyBorder="1" applyAlignment="1">
      <alignment vertical="center"/>
    </xf>
    <xf numFmtId="3" fontId="2" fillId="2" borderId="16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16" fillId="0" borderId="38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41" xfId="0" applyFont="1" applyBorder="1" applyAlignment="1">
      <alignment horizontal="left" vertical="center" wrapText="1"/>
    </xf>
    <xf numFmtId="3" fontId="2" fillId="9" borderId="13" xfId="0" applyNumberFormat="1" applyFont="1" applyFill="1" applyBorder="1" applyAlignment="1">
      <alignment vertical="center"/>
    </xf>
    <xf numFmtId="3" fontId="2" fillId="9" borderId="0" xfId="0" applyNumberFormat="1" applyFont="1" applyFill="1" applyAlignment="1">
      <alignment vertical="center"/>
    </xf>
    <xf numFmtId="3" fontId="2" fillId="9" borderId="5" xfId="0" applyNumberFormat="1" applyFont="1" applyFill="1" applyBorder="1" applyAlignment="1">
      <alignment vertical="center"/>
    </xf>
    <xf numFmtId="164" fontId="20" fillId="8" borderId="0" xfId="1" applyNumberFormat="1" applyFont="1" applyFill="1" applyBorder="1" applyAlignment="1">
      <alignment vertical="center"/>
    </xf>
    <xf numFmtId="0" fontId="18" fillId="5" borderId="3" xfId="0" applyFont="1" applyFill="1" applyBorder="1"/>
    <xf numFmtId="0" fontId="14" fillId="0" borderId="13" xfId="0" applyFont="1" applyBorder="1"/>
    <xf numFmtId="0" fontId="16" fillId="0" borderId="0" xfId="0" applyFont="1"/>
    <xf numFmtId="164" fontId="14" fillId="0" borderId="0" xfId="1" applyNumberFormat="1" applyFont="1" applyBorder="1"/>
    <xf numFmtId="0" fontId="16" fillId="5" borderId="7" xfId="0" applyFont="1" applyFill="1" applyBorder="1" applyAlignment="1">
      <alignment vertical="top"/>
    </xf>
    <xf numFmtId="0" fontId="17" fillId="5" borderId="8" xfId="0" applyFont="1" applyFill="1" applyBorder="1" applyAlignment="1">
      <alignment vertical="top" wrapText="1"/>
    </xf>
    <xf numFmtId="164" fontId="13" fillId="5" borderId="9" xfId="0" applyNumberFormat="1" applyFont="1" applyFill="1" applyBorder="1" applyAlignment="1">
      <alignment vertical="center"/>
    </xf>
    <xf numFmtId="0" fontId="16" fillId="0" borderId="0" xfId="0" applyFont="1" applyAlignment="1">
      <alignment horizontal="right"/>
    </xf>
    <xf numFmtId="0" fontId="14" fillId="0" borderId="0" xfId="1" applyNumberFormat="1" applyFont="1" applyFill="1" applyBorder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164" fontId="13" fillId="8" borderId="0" xfId="1" applyNumberFormat="1" applyFont="1" applyFill="1" applyBorder="1" applyAlignment="1">
      <alignment vertical="center"/>
    </xf>
    <xf numFmtId="3" fontId="0" fillId="4" borderId="0" xfId="0" applyNumberFormat="1" applyFill="1" applyProtection="1">
      <protection locked="0"/>
    </xf>
    <xf numFmtId="3" fontId="22" fillId="8" borderId="8" xfId="3" applyNumberFormat="1" applyBorder="1" applyProtection="1">
      <protection locked="0"/>
    </xf>
    <xf numFmtId="3" fontId="2" fillId="4" borderId="13" xfId="0" applyNumberFormat="1" applyFont="1" applyFill="1" applyBorder="1" applyAlignment="1" applyProtection="1">
      <alignment vertical="center"/>
      <protection locked="0"/>
    </xf>
    <xf numFmtId="3" fontId="2" fillId="4" borderId="0" xfId="0" applyNumberFormat="1" applyFont="1" applyFill="1" applyAlignment="1" applyProtection="1">
      <alignment vertical="center"/>
      <protection locked="0"/>
    </xf>
    <xf numFmtId="3" fontId="2" fillId="4" borderId="5" xfId="0" applyNumberFormat="1" applyFont="1" applyFill="1" applyBorder="1" applyAlignment="1" applyProtection="1">
      <alignment vertical="center"/>
      <protection locked="0"/>
    </xf>
    <xf numFmtId="9" fontId="2" fillId="4" borderId="13" xfId="1" applyFont="1" applyFill="1" applyBorder="1" applyAlignment="1" applyProtection="1">
      <alignment vertical="center"/>
      <protection locked="0"/>
    </xf>
    <xf numFmtId="9" fontId="2" fillId="4" borderId="0" xfId="1" applyFont="1" applyFill="1" applyBorder="1" applyAlignment="1" applyProtection="1">
      <alignment vertical="center"/>
      <protection locked="0"/>
    </xf>
    <xf numFmtId="9" fontId="2" fillId="4" borderId="5" xfId="1" applyFont="1" applyFill="1" applyBorder="1" applyAlignment="1" applyProtection="1">
      <alignment vertical="center"/>
      <protection locked="0"/>
    </xf>
    <xf numFmtId="164" fontId="2" fillId="4" borderId="13" xfId="1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Border="1" applyAlignment="1" applyProtection="1">
      <alignment vertical="center"/>
      <protection locked="0"/>
    </xf>
    <xf numFmtId="164" fontId="2" fillId="4" borderId="5" xfId="1" applyNumberFormat="1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3" fontId="20" fillId="8" borderId="13" xfId="3" applyNumberFormat="1" applyFont="1" applyBorder="1" applyAlignment="1" applyProtection="1">
      <alignment vertical="center"/>
      <protection locked="0"/>
    </xf>
    <xf numFmtId="3" fontId="20" fillId="8" borderId="0" xfId="3" applyNumberFormat="1" applyFont="1" applyAlignment="1" applyProtection="1">
      <alignment vertical="center"/>
      <protection locked="0"/>
    </xf>
    <xf numFmtId="3" fontId="20" fillId="8" borderId="5" xfId="3" applyNumberFormat="1" applyFont="1" applyBorder="1" applyAlignment="1" applyProtection="1">
      <alignment vertical="center"/>
      <protection locked="0"/>
    </xf>
    <xf numFmtId="3" fontId="20" fillId="4" borderId="13" xfId="0" applyNumberFormat="1" applyFont="1" applyFill="1" applyBorder="1" applyAlignment="1" applyProtection="1">
      <alignment vertical="center"/>
      <protection locked="0"/>
    </xf>
    <xf numFmtId="3" fontId="20" fillId="4" borderId="0" xfId="0" applyNumberFormat="1" applyFont="1" applyFill="1" applyAlignment="1" applyProtection="1">
      <alignment vertical="center"/>
      <protection locked="0"/>
    </xf>
    <xf numFmtId="3" fontId="20" fillId="4" borderId="5" xfId="0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Alignment="1" applyProtection="1">
      <alignment vertical="center"/>
      <protection locked="0"/>
    </xf>
    <xf numFmtId="0" fontId="20" fillId="8" borderId="0" xfId="3" applyFont="1" applyAlignment="1" applyProtection="1">
      <alignment horizontal="right" vertical="center" indent="1"/>
      <protection locked="0"/>
    </xf>
    <xf numFmtId="0" fontId="20" fillId="8" borderId="39" xfId="3" applyFont="1" applyBorder="1" applyAlignment="1" applyProtection="1">
      <alignment horizontal="left" vertical="center" indent="2"/>
      <protection locked="0"/>
    </xf>
    <xf numFmtId="165" fontId="2" fillId="4" borderId="33" xfId="2" applyNumberFormat="1" applyFont="1" applyFill="1" applyBorder="1" applyAlignment="1" applyProtection="1">
      <alignment vertical="center"/>
      <protection locked="0"/>
    </xf>
    <xf numFmtId="165" fontId="2" fillId="4" borderId="34" xfId="2" applyNumberFormat="1" applyFont="1" applyFill="1" applyBorder="1" applyAlignment="1" applyProtection="1">
      <alignment vertical="center"/>
      <protection locked="0"/>
    </xf>
    <xf numFmtId="165" fontId="2" fillId="4" borderId="35" xfId="2" applyNumberFormat="1" applyFont="1" applyFill="1" applyBorder="1" applyAlignment="1" applyProtection="1">
      <alignment vertical="center"/>
      <protection locked="0"/>
    </xf>
    <xf numFmtId="0" fontId="20" fillId="8" borderId="4" xfId="3" applyFont="1" applyBorder="1" applyAlignment="1" applyProtection="1">
      <alignment horizontal="left" vertical="center" indent="2"/>
      <protection locked="0"/>
    </xf>
    <xf numFmtId="165" fontId="2" fillId="4" borderId="0" xfId="2" applyNumberFormat="1" applyFont="1" applyFill="1" applyBorder="1" applyAlignment="1" applyProtection="1">
      <alignment vertical="center"/>
      <protection locked="0"/>
    </xf>
    <xf numFmtId="165" fontId="2" fillId="4" borderId="5" xfId="2" applyNumberFormat="1" applyFont="1" applyFill="1" applyBorder="1" applyAlignment="1" applyProtection="1">
      <alignment vertical="center"/>
      <protection locked="0"/>
    </xf>
    <xf numFmtId="165" fontId="2" fillId="4" borderId="37" xfId="2" applyNumberFormat="1" applyFont="1" applyFill="1" applyBorder="1" applyAlignment="1" applyProtection="1">
      <alignment vertical="center"/>
      <protection locked="0"/>
    </xf>
    <xf numFmtId="0" fontId="20" fillId="8" borderId="40" xfId="3" applyFont="1" applyBorder="1" applyAlignment="1" applyProtection="1">
      <alignment horizontal="left" vertical="center" indent="2"/>
      <protection locked="0"/>
    </xf>
    <xf numFmtId="165" fontId="2" fillId="4" borderId="26" xfId="2" applyNumberFormat="1" applyFont="1" applyFill="1" applyBorder="1" applyAlignment="1" applyProtection="1">
      <alignment vertical="center"/>
      <protection locked="0"/>
    </xf>
    <xf numFmtId="165" fontId="2" fillId="4" borderId="28" xfId="2" applyNumberFormat="1" applyFont="1" applyFill="1" applyBorder="1" applyAlignment="1" applyProtection="1">
      <alignment vertical="center"/>
      <protection locked="0"/>
    </xf>
    <xf numFmtId="165" fontId="2" fillId="4" borderId="36" xfId="2" applyNumberFormat="1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16" fillId="5" borderId="9" xfId="0" applyFont="1" applyFill="1" applyBorder="1" applyAlignment="1">
      <alignment horizontal="right"/>
    </xf>
    <xf numFmtId="3" fontId="0" fillId="0" borderId="0" xfId="0" applyNumberFormat="1"/>
    <xf numFmtId="0" fontId="14" fillId="0" borderId="14" xfId="0" applyFont="1" applyBorder="1" applyAlignment="1">
      <alignment horizontal="left" indent="1"/>
    </xf>
    <xf numFmtId="0" fontId="0" fillId="0" borderId="16" xfId="0" applyBorder="1"/>
    <xf numFmtId="0" fontId="6" fillId="0" borderId="15" xfId="0" applyFont="1" applyBorder="1"/>
    <xf numFmtId="10" fontId="3" fillId="0" borderId="27" xfId="1" applyNumberFormat="1" applyFont="1" applyBorder="1" applyAlignment="1">
      <alignment vertical="center"/>
    </xf>
    <xf numFmtId="164" fontId="0" fillId="0" borderId="0" xfId="1" applyNumberFormat="1" applyFont="1" applyBorder="1"/>
    <xf numFmtId="0" fontId="16" fillId="0" borderId="13" xfId="1" applyNumberFormat="1" applyFont="1" applyBorder="1" applyAlignment="1">
      <alignment vertical="center"/>
    </xf>
    <xf numFmtId="0" fontId="16" fillId="0" borderId="0" xfId="1" applyNumberFormat="1" applyFont="1" applyBorder="1" applyAlignment="1">
      <alignment vertical="center"/>
    </xf>
    <xf numFmtId="0" fontId="16" fillId="0" borderId="5" xfId="1" applyNumberFormat="1" applyFont="1" applyBorder="1" applyAlignment="1">
      <alignment vertical="center"/>
    </xf>
    <xf numFmtId="0" fontId="3" fillId="6" borderId="0" xfId="0" applyFont="1" applyFill="1" applyAlignment="1">
      <alignment vertical="center"/>
    </xf>
    <xf numFmtId="3" fontId="2" fillId="0" borderId="29" xfId="0" applyNumberFormat="1" applyFont="1" applyBorder="1" applyAlignment="1">
      <alignment vertical="center"/>
    </xf>
    <xf numFmtId="1" fontId="0" fillId="4" borderId="13" xfId="0" applyNumberFormat="1" applyFill="1" applyBorder="1" applyProtection="1">
      <protection locked="0"/>
    </xf>
    <xf numFmtId="1" fontId="0" fillId="4" borderId="0" xfId="0" applyNumberFormat="1" applyFill="1" applyProtection="1">
      <protection locked="0"/>
    </xf>
    <xf numFmtId="1" fontId="0" fillId="4" borderId="5" xfId="0" applyNumberFormat="1" applyFill="1" applyBorder="1" applyProtection="1">
      <protection locked="0"/>
    </xf>
    <xf numFmtId="0" fontId="3" fillId="0" borderId="22" xfId="0" applyFont="1" applyBorder="1" applyAlignment="1">
      <alignment horizontal="left"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164" fontId="0" fillId="0" borderId="31" xfId="1" applyNumberFormat="1" applyFont="1" applyBorder="1"/>
    <xf numFmtId="164" fontId="0" fillId="0" borderId="22" xfId="1" applyNumberFormat="1" applyFont="1" applyBorder="1"/>
    <xf numFmtId="164" fontId="2" fillId="0" borderId="22" xfId="1" applyNumberFormat="1" applyFont="1" applyBorder="1" applyAlignment="1">
      <alignment vertical="center"/>
    </xf>
    <xf numFmtId="164" fontId="2" fillId="0" borderId="32" xfId="1" applyNumberFormat="1" applyFont="1" applyBorder="1" applyAlignment="1">
      <alignment vertical="center"/>
    </xf>
    <xf numFmtId="164" fontId="2" fillId="6" borderId="22" xfId="1" applyNumberFormat="1" applyFont="1" applyFill="1" applyBorder="1" applyAlignment="1">
      <alignment vertical="center"/>
    </xf>
    <xf numFmtId="164" fontId="2" fillId="6" borderId="32" xfId="1" applyNumberFormat="1" applyFont="1" applyFill="1" applyBorder="1" applyAlignment="1">
      <alignment vertical="center"/>
    </xf>
    <xf numFmtId="0" fontId="24" fillId="0" borderId="13" xfId="0" applyFont="1" applyBorder="1"/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3" borderId="4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45" xfId="0" applyFont="1" applyFill="1" applyBorder="1" applyAlignment="1">
      <alignment horizontal="center" vertical="center"/>
    </xf>
  </cellXfs>
  <cellStyles count="4">
    <cellStyle name="Dziesiętny" xfId="2" builtinId="3"/>
    <cellStyle name="Neutralny" xfId="3" builtinId="28"/>
    <cellStyle name="Normalny" xfId="0" builtinId="0"/>
    <cellStyle name="Procentowy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  <color rgb="FFFF7C80"/>
      <color rgb="FFFF5050"/>
      <color rgb="FFDDDDD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G$6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</xdr:row>
          <xdr:rowOff>19050</xdr:rowOff>
        </xdr:from>
        <xdr:to>
          <xdr:col>6</xdr:col>
          <xdr:colOff>962025</xdr:colOff>
          <xdr:row>7</xdr:row>
          <xdr:rowOff>0</xdr:rowOff>
        </xdr:to>
        <xdr:sp macro="" textlink="">
          <xdr:nvSpPr>
            <xdr:cNvPr id="1042" name="Option Button 18" descr="Co-Investment Model (standard) or Mixed Model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Co-Investment Model - standard or Mixed Model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</xdr:row>
          <xdr:rowOff>142875</xdr:rowOff>
        </xdr:from>
        <xdr:to>
          <xdr:col>7</xdr:col>
          <xdr:colOff>542925</xdr:colOff>
          <xdr:row>8</xdr:row>
          <xdr:rowOff>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Co-investment Model for angel syndicate organizers / BA associated with commitment funds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80596</xdr:colOff>
      <xdr:row>10</xdr:row>
      <xdr:rowOff>109904</xdr:rowOff>
    </xdr:from>
    <xdr:to>
      <xdr:col>17</xdr:col>
      <xdr:colOff>581548</xdr:colOff>
      <xdr:row>14</xdr:row>
      <xdr:rowOff>28594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BB9BCE-CDF6-4817-8BAE-09236A715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6481" y="2058866"/>
          <a:ext cx="6391798" cy="68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DD39-2FC8-4D7C-A784-4C85319E70A6}">
  <sheetPr>
    <pageSetUpPr fitToPage="1"/>
  </sheetPr>
  <dimension ref="A1:T76"/>
  <sheetViews>
    <sheetView showGridLines="0" tabSelected="1" view="pageBreakPreview" zoomScale="90" zoomScaleNormal="90" zoomScaleSheetLayoutView="90" workbookViewId="0">
      <selection activeCell="B71" sqref="B71"/>
    </sheetView>
  </sheetViews>
  <sheetFormatPr defaultRowHeight="15" x14ac:dyDescent="0.25"/>
  <cols>
    <col min="1" max="1" width="106.140625" customWidth="1"/>
    <col min="2" max="18" width="14.7109375" customWidth="1"/>
    <col min="19" max="19" width="22.140625" customWidth="1"/>
  </cols>
  <sheetData>
    <row r="1" spans="1:20" ht="16.5" thickBot="1" x14ac:dyDescent="0.3">
      <c r="A1" s="9" t="s">
        <v>2</v>
      </c>
      <c r="B1" s="71" t="s">
        <v>91</v>
      </c>
      <c r="C1" s="72"/>
      <c r="D1" s="72"/>
      <c r="E1" s="72"/>
      <c r="F1" s="72"/>
      <c r="G1" s="73" t="s">
        <v>71</v>
      </c>
      <c r="H1" s="74" t="s">
        <v>10</v>
      </c>
      <c r="L1" s="58" t="s">
        <v>25</v>
      </c>
      <c r="M1" s="20"/>
      <c r="N1" s="20"/>
      <c r="O1" s="20"/>
      <c r="P1" s="20"/>
      <c r="Q1" s="20"/>
      <c r="R1" s="20"/>
      <c r="S1" s="157"/>
      <c r="T1" s="88"/>
    </row>
    <row r="2" spans="1:20" x14ac:dyDescent="0.25">
      <c r="A2" s="1" t="s">
        <v>5</v>
      </c>
      <c r="B2" s="11" t="s">
        <v>9</v>
      </c>
      <c r="C2" s="12"/>
      <c r="D2" s="12"/>
      <c r="E2" s="12"/>
      <c r="F2" s="12"/>
      <c r="G2" s="65">
        <f>SUM(G3:G5)</f>
        <v>0</v>
      </c>
      <c r="H2" s="82" t="str">
        <f>IFERROR(G2/$G$2,"-")</f>
        <v>-</v>
      </c>
      <c r="L2" s="52" t="s">
        <v>16</v>
      </c>
      <c r="M2" s="53"/>
      <c r="N2" s="53"/>
      <c r="O2" s="53"/>
      <c r="P2" s="53"/>
      <c r="Q2" s="53"/>
      <c r="R2" s="89" t="b">
        <f>IFERROR(H3&gt;=0.02," ")</f>
        <v>1</v>
      </c>
      <c r="S2" s="90" t="str">
        <f>IFERROR((H4+H3)," ")</f>
        <v xml:space="preserve"> </v>
      </c>
    </row>
    <row r="3" spans="1:20" x14ac:dyDescent="0.25">
      <c r="A3" t="s">
        <v>6</v>
      </c>
      <c r="B3" s="13" t="s">
        <v>3</v>
      </c>
      <c r="G3" s="170"/>
      <c r="H3" s="83" t="str">
        <f>IFERROR(G3/$G$2,"-")</f>
        <v>-</v>
      </c>
      <c r="L3" s="158" t="s">
        <v>17</v>
      </c>
      <c r="R3" s="91" t="b">
        <f>H5&lt;=0.98</f>
        <v>0</v>
      </c>
      <c r="S3" s="92" t="str">
        <f>H5</f>
        <v>-</v>
      </c>
    </row>
    <row r="4" spans="1:20" x14ac:dyDescent="0.25">
      <c r="A4" t="s">
        <v>8</v>
      </c>
      <c r="B4" s="13" t="s">
        <v>4</v>
      </c>
      <c r="G4" s="170"/>
      <c r="H4" s="83" t="str">
        <f>IFERROR(G4/$G$2,"-")</f>
        <v>-</v>
      </c>
      <c r="L4" s="227" t="s">
        <v>18</v>
      </c>
      <c r="M4" s="22"/>
      <c r="N4" s="22"/>
      <c r="O4" s="22"/>
      <c r="P4" s="22"/>
      <c r="Q4" s="22"/>
      <c r="R4" s="91" t="b">
        <f>R22=1</f>
        <v>0</v>
      </c>
      <c r="S4" s="93">
        <f>R22</f>
        <v>0</v>
      </c>
    </row>
    <row r="5" spans="1:20" ht="15.75" thickBot="1" x14ac:dyDescent="0.3">
      <c r="A5" t="s">
        <v>7</v>
      </c>
      <c r="B5" s="14" t="s">
        <v>1</v>
      </c>
      <c r="C5" s="15"/>
      <c r="D5" s="15"/>
      <c r="E5" s="15"/>
      <c r="F5" s="15"/>
      <c r="G5" s="171"/>
      <c r="H5" s="84" t="str">
        <f>IFERROR(G5/$G$2,"-")</f>
        <v>-</v>
      </c>
      <c r="L5" s="227" t="s">
        <v>19</v>
      </c>
      <c r="M5" s="22"/>
      <c r="N5" s="22"/>
      <c r="O5" s="22"/>
      <c r="P5" s="22"/>
      <c r="Q5" s="22"/>
      <c r="R5" s="91" t="b">
        <f>S5&lt;=0.6</f>
        <v>1</v>
      </c>
      <c r="S5" s="93">
        <f>R26</f>
        <v>0</v>
      </c>
    </row>
    <row r="6" spans="1:20" x14ac:dyDescent="0.25">
      <c r="A6" s="22" t="s">
        <v>70</v>
      </c>
      <c r="B6" s="206" t="s">
        <v>11</v>
      </c>
      <c r="C6" s="12"/>
      <c r="D6" s="12"/>
      <c r="E6" s="12"/>
      <c r="F6" s="12"/>
      <c r="G6" s="208">
        <v>1</v>
      </c>
      <c r="H6" s="207"/>
      <c r="L6" s="54" t="s">
        <v>20</v>
      </c>
      <c r="M6" s="22"/>
      <c r="N6" s="22"/>
      <c r="O6" s="22"/>
      <c r="P6" s="22"/>
      <c r="Q6" s="22"/>
      <c r="R6" s="91" t="b">
        <f>AND($C$28&gt;=0.1,$E$28&gt;=0.25,$G$28&gt;=0.4,$I$28&gt;=0.6)</f>
        <v>0</v>
      </c>
      <c r="S6" s="94"/>
    </row>
    <row r="7" spans="1:20" x14ac:dyDescent="0.25">
      <c r="A7" s="22"/>
      <c r="B7" s="13"/>
      <c r="C7" s="230"/>
      <c r="D7" s="230"/>
      <c r="E7" s="230"/>
      <c r="F7" s="230"/>
      <c r="G7" s="230"/>
      <c r="H7" s="231"/>
      <c r="L7" s="54" t="s">
        <v>21</v>
      </c>
      <c r="M7" s="22"/>
      <c r="N7" s="22"/>
      <c r="O7" s="22"/>
      <c r="P7" s="22"/>
      <c r="Q7" s="22"/>
      <c r="R7" s="91" t="b">
        <f ca="1">IF(G6=1,MAX(F43:Q43)&lt;= 0.22,"n/d")</f>
        <v>1</v>
      </c>
      <c r="S7" s="94"/>
    </row>
    <row r="8" spans="1:20" ht="15.75" thickBot="1" x14ac:dyDescent="0.3">
      <c r="A8" s="22"/>
      <c r="B8" s="14"/>
      <c r="C8" s="228"/>
      <c r="D8" s="228"/>
      <c r="E8" s="228"/>
      <c r="F8" s="228"/>
      <c r="G8" s="228"/>
      <c r="H8" s="229"/>
      <c r="L8" s="54" t="s">
        <v>22</v>
      </c>
      <c r="M8" s="22"/>
      <c r="N8" s="22"/>
      <c r="O8" s="22"/>
      <c r="P8" s="22"/>
      <c r="Q8" s="22"/>
      <c r="R8" s="91" t="str">
        <f>IF(G6=2,MAX(F44:Q44)&lt;= 0.15,"n/d")</f>
        <v>n/d</v>
      </c>
      <c r="S8" s="94"/>
    </row>
    <row r="9" spans="1:20" x14ac:dyDescent="0.25">
      <c r="A9" s="22"/>
      <c r="B9" s="16" t="s">
        <v>9</v>
      </c>
      <c r="C9" s="12"/>
      <c r="D9" s="12"/>
      <c r="E9" s="12"/>
      <c r="F9" s="12"/>
      <c r="G9" s="65">
        <f>G2</f>
        <v>0</v>
      </c>
      <c r="H9" s="82" t="str">
        <f>IFERROR(G9/$G$9,"-")</f>
        <v>-</v>
      </c>
      <c r="L9" s="54" t="s">
        <v>23</v>
      </c>
      <c r="R9" s="91" t="b">
        <f ca="1">ROUND(G9,0)=ROUND(SUM((B20:Q20),(B37:Q38)),0)</f>
        <v>1</v>
      </c>
      <c r="S9" s="95"/>
    </row>
    <row r="10" spans="1:20" ht="15.75" thickBot="1" x14ac:dyDescent="0.3">
      <c r="B10" s="17" t="s">
        <v>12</v>
      </c>
      <c r="G10" s="205">
        <f ca="1">G9-SUM(G12:G13)</f>
        <v>0</v>
      </c>
      <c r="H10" s="83" t="str">
        <f ca="1">IFERROR(G10/$G$9,"-")</f>
        <v>-</v>
      </c>
      <c r="L10" s="161" t="s">
        <v>24</v>
      </c>
      <c r="M10" s="162"/>
      <c r="N10" s="162"/>
      <c r="O10" s="162"/>
      <c r="P10" s="162"/>
      <c r="Q10" s="162"/>
      <c r="R10" s="204" t="b">
        <f ca="1">R31&lt;=R27</f>
        <v>1</v>
      </c>
      <c r="S10" s="163"/>
    </row>
    <row r="11" spans="1:20" x14ac:dyDescent="0.25">
      <c r="B11" s="13" t="s">
        <v>13</v>
      </c>
      <c r="G11" s="205">
        <f ca="1">SUM(G12:G13)</f>
        <v>0</v>
      </c>
      <c r="H11" s="83" t="str">
        <f ca="1">IFERROR(G11/$G$9,"-")</f>
        <v>-</v>
      </c>
      <c r="L11" s="159"/>
      <c r="R11" s="160"/>
    </row>
    <row r="12" spans="1:20" x14ac:dyDescent="0.25">
      <c r="B12" s="10" t="s">
        <v>14</v>
      </c>
      <c r="G12" s="205">
        <f>SUM(B37:Q37)</f>
        <v>0</v>
      </c>
      <c r="H12" s="83" t="str">
        <f>IFERROR(G12/$G$9,"-")</f>
        <v>-</v>
      </c>
    </row>
    <row r="13" spans="1:20" ht="15.75" thickBot="1" x14ac:dyDescent="0.3">
      <c r="B13" s="18" t="s">
        <v>15</v>
      </c>
      <c r="C13" s="15"/>
      <c r="D13" s="15"/>
      <c r="E13" s="15"/>
      <c r="F13" s="15"/>
      <c r="G13" s="23">
        <f ca="1">SUM(B38:Q38)</f>
        <v>0</v>
      </c>
      <c r="H13" s="84" t="str">
        <f ca="1">IFERROR(G13/$G$9,"-")</f>
        <v>-</v>
      </c>
    </row>
    <row r="14" spans="1:20" ht="15" customHeight="1" x14ac:dyDescent="0.25"/>
    <row r="15" spans="1:20" ht="15.75" thickBot="1" x14ac:dyDescent="0.3">
      <c r="L15" s="19"/>
      <c r="M15" s="19"/>
      <c r="N15" s="19"/>
      <c r="O15" s="19"/>
      <c r="P15" s="19"/>
      <c r="Q15" s="19"/>
      <c r="R15" s="19"/>
      <c r="T15" s="96"/>
    </row>
    <row r="16" spans="1:20" ht="15.75" thickBot="1" x14ac:dyDescent="0.3">
      <c r="B16" s="234" t="s">
        <v>47</v>
      </c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6"/>
      <c r="T16" s="97"/>
    </row>
    <row r="17" spans="1:20" ht="17.25" customHeight="1" thickBot="1" x14ac:dyDescent="0.3">
      <c r="B17" s="237" t="s">
        <v>46</v>
      </c>
      <c r="C17" s="238"/>
      <c r="D17" s="238"/>
      <c r="E17" s="238"/>
      <c r="F17" s="238"/>
      <c r="G17" s="238"/>
      <c r="H17" s="238"/>
      <c r="I17" s="239"/>
      <c r="J17" s="240" t="s">
        <v>48</v>
      </c>
      <c r="K17" s="240"/>
      <c r="L17" s="240"/>
      <c r="M17" s="240"/>
      <c r="N17" s="240"/>
      <c r="O17" s="240"/>
      <c r="P17" s="240"/>
      <c r="Q17" s="240"/>
      <c r="R17" s="241"/>
      <c r="T17" s="97"/>
    </row>
    <row r="18" spans="1:20" x14ac:dyDescent="0.25">
      <c r="A18" s="98" t="s">
        <v>71</v>
      </c>
      <c r="B18" s="242" t="s">
        <v>36</v>
      </c>
      <c r="C18" s="232"/>
      <c r="D18" s="232" t="s">
        <v>37</v>
      </c>
      <c r="E18" s="232"/>
      <c r="F18" s="232" t="s">
        <v>38</v>
      </c>
      <c r="G18" s="232"/>
      <c r="H18" s="232" t="s">
        <v>39</v>
      </c>
      <c r="I18" s="232"/>
      <c r="J18" s="232" t="s">
        <v>40</v>
      </c>
      <c r="K18" s="232"/>
      <c r="L18" s="232" t="s">
        <v>41</v>
      </c>
      <c r="M18" s="232"/>
      <c r="N18" s="232" t="s">
        <v>42</v>
      </c>
      <c r="O18" s="232"/>
      <c r="P18" s="232" t="s">
        <v>43</v>
      </c>
      <c r="Q18" s="233"/>
      <c r="R18" s="100"/>
    </row>
    <row r="19" spans="1:20" ht="15.75" thickBot="1" x14ac:dyDescent="0.3">
      <c r="A19" s="99"/>
      <c r="B19" s="166" t="s">
        <v>44</v>
      </c>
      <c r="C19" s="167" t="s">
        <v>45</v>
      </c>
      <c r="D19" s="167" t="s">
        <v>44</v>
      </c>
      <c r="E19" s="167" t="s">
        <v>45</v>
      </c>
      <c r="F19" s="167" t="s">
        <v>44</v>
      </c>
      <c r="G19" s="167" t="s">
        <v>45</v>
      </c>
      <c r="H19" s="167" t="s">
        <v>44</v>
      </c>
      <c r="I19" s="167" t="s">
        <v>45</v>
      </c>
      <c r="J19" s="167" t="s">
        <v>44</v>
      </c>
      <c r="K19" s="167" t="s">
        <v>45</v>
      </c>
      <c r="L19" s="167" t="s">
        <v>44</v>
      </c>
      <c r="M19" s="167" t="s">
        <v>45</v>
      </c>
      <c r="N19" s="167" t="s">
        <v>44</v>
      </c>
      <c r="O19" s="167" t="s">
        <v>45</v>
      </c>
      <c r="P19" s="167" t="s">
        <v>44</v>
      </c>
      <c r="Q19" s="168" t="s">
        <v>45</v>
      </c>
      <c r="R19" s="101"/>
    </row>
    <row r="20" spans="1:20" x14ac:dyDescent="0.25">
      <c r="A20" s="48" t="s">
        <v>35</v>
      </c>
      <c r="B20" s="102">
        <f ca="1">B22*$G$10</f>
        <v>0</v>
      </c>
      <c r="C20" s="87">
        <f ca="1">C22*$G$10</f>
        <v>0</v>
      </c>
      <c r="D20" s="87">
        <f ca="1">D22*$G$10</f>
        <v>0</v>
      </c>
      <c r="E20" s="87">
        <f ca="1">E22*$G$10</f>
        <v>0</v>
      </c>
      <c r="F20" s="87">
        <f t="shared" ref="F20:Q20" ca="1" si="0">F22*$G$10</f>
        <v>0</v>
      </c>
      <c r="G20" s="87">
        <f t="shared" ca="1" si="0"/>
        <v>0</v>
      </c>
      <c r="H20" s="87">
        <f t="shared" ca="1" si="0"/>
        <v>0</v>
      </c>
      <c r="I20" s="103">
        <f t="shared" ca="1" si="0"/>
        <v>0</v>
      </c>
      <c r="J20" s="87">
        <f t="shared" ca="1" si="0"/>
        <v>0</v>
      </c>
      <c r="K20" s="44">
        <f t="shared" ca="1" si="0"/>
        <v>0</v>
      </c>
      <c r="L20" s="44">
        <f t="shared" ca="1" si="0"/>
        <v>0</v>
      </c>
      <c r="M20" s="44">
        <f t="shared" ca="1" si="0"/>
        <v>0</v>
      </c>
      <c r="N20" s="44">
        <f t="shared" ca="1" si="0"/>
        <v>0</v>
      </c>
      <c r="O20" s="44">
        <f t="shared" ca="1" si="0"/>
        <v>0</v>
      </c>
      <c r="P20" s="44">
        <f t="shared" ca="1" si="0"/>
        <v>0</v>
      </c>
      <c r="Q20" s="44">
        <f t="shared" ca="1" si="0"/>
        <v>0</v>
      </c>
      <c r="R20" s="47">
        <f ca="1">SUM(B20:Q20)</f>
        <v>0</v>
      </c>
    </row>
    <row r="21" spans="1:20" x14ac:dyDescent="0.25">
      <c r="A21" s="32" t="s">
        <v>26</v>
      </c>
      <c r="B21" s="172"/>
      <c r="C21" s="173"/>
      <c r="D21" s="173"/>
      <c r="E21" s="173"/>
      <c r="F21" s="173"/>
      <c r="G21" s="173"/>
      <c r="H21" s="173"/>
      <c r="I21" s="174"/>
      <c r="J21" s="39"/>
      <c r="K21" s="85"/>
      <c r="L21" s="85"/>
      <c r="M21" s="85"/>
      <c r="N21" s="85"/>
      <c r="O21" s="85"/>
      <c r="P21" s="85"/>
      <c r="Q21" s="86"/>
      <c r="R21" s="36">
        <f>SUM(B21:Q21)</f>
        <v>0</v>
      </c>
    </row>
    <row r="22" spans="1:20" x14ac:dyDescent="0.25">
      <c r="A22" s="56" t="s">
        <v>27</v>
      </c>
      <c r="B22" s="124">
        <f t="shared" ref="B22:M22" si="1">B24+B26</f>
        <v>0</v>
      </c>
      <c r="C22" s="125">
        <f t="shared" si="1"/>
        <v>0</v>
      </c>
      <c r="D22" s="125">
        <f t="shared" si="1"/>
        <v>0</v>
      </c>
      <c r="E22" s="125">
        <f t="shared" si="1"/>
        <v>0</v>
      </c>
      <c r="F22" s="125">
        <f t="shared" si="1"/>
        <v>0</v>
      </c>
      <c r="G22" s="125">
        <f t="shared" si="1"/>
        <v>0</v>
      </c>
      <c r="H22" s="125">
        <f t="shared" si="1"/>
        <v>0</v>
      </c>
      <c r="I22" s="126">
        <f t="shared" si="1"/>
        <v>0</v>
      </c>
      <c r="J22" s="130">
        <f t="shared" si="1"/>
        <v>0</v>
      </c>
      <c r="K22" s="130">
        <f t="shared" si="1"/>
        <v>0</v>
      </c>
      <c r="L22" s="130">
        <f t="shared" si="1"/>
        <v>0</v>
      </c>
      <c r="M22" s="130">
        <f t="shared" si="1"/>
        <v>0</v>
      </c>
      <c r="N22" s="39"/>
      <c r="O22" s="39"/>
      <c r="P22" s="39"/>
      <c r="Q22" s="39"/>
      <c r="R22" s="68">
        <f>SUM(B22:Q22)</f>
        <v>0</v>
      </c>
    </row>
    <row r="23" spans="1:20" x14ac:dyDescent="0.25">
      <c r="A23" s="55" t="s">
        <v>28</v>
      </c>
      <c r="B23" s="127">
        <f ca="1">B24*$G$10</f>
        <v>0</v>
      </c>
      <c r="C23" s="128">
        <f ca="1">C24*$G$10</f>
        <v>0</v>
      </c>
      <c r="D23" s="128">
        <f ca="1">D24*$G$10</f>
        <v>0</v>
      </c>
      <c r="E23" s="128">
        <f t="shared" ref="E23:I23" ca="1" si="2">E24*$G$10</f>
        <v>0</v>
      </c>
      <c r="F23" s="128">
        <f t="shared" ca="1" si="2"/>
        <v>0</v>
      </c>
      <c r="G23" s="128">
        <f t="shared" ca="1" si="2"/>
        <v>0</v>
      </c>
      <c r="H23" s="128">
        <f ca="1">H24*$G$10</f>
        <v>0</v>
      </c>
      <c r="I23" s="129">
        <f t="shared" ca="1" si="2"/>
        <v>0</v>
      </c>
      <c r="J23" s="39"/>
      <c r="K23" s="39"/>
      <c r="L23" s="39"/>
      <c r="M23" s="39"/>
      <c r="N23" s="39"/>
      <c r="O23" s="39"/>
      <c r="P23" s="39"/>
      <c r="Q23" s="39"/>
      <c r="R23" s="131">
        <f t="shared" ref="R23:R24" ca="1" si="3">SUM(B23:Q23)</f>
        <v>0</v>
      </c>
    </row>
    <row r="24" spans="1:20" x14ac:dyDescent="0.25">
      <c r="A24" s="31" t="s">
        <v>29</v>
      </c>
      <c r="B24" s="175"/>
      <c r="C24" s="176"/>
      <c r="D24" s="176"/>
      <c r="E24" s="176"/>
      <c r="F24" s="176"/>
      <c r="G24" s="176"/>
      <c r="H24" s="176"/>
      <c r="I24" s="177"/>
      <c r="J24" s="39"/>
      <c r="K24" s="39"/>
      <c r="L24" s="39"/>
      <c r="M24" s="39"/>
      <c r="N24" s="39"/>
      <c r="O24" s="39"/>
      <c r="P24" s="39"/>
      <c r="Q24" s="39"/>
      <c r="R24" s="68">
        <f t="shared" si="3"/>
        <v>0</v>
      </c>
    </row>
    <row r="25" spans="1:20" x14ac:dyDescent="0.25">
      <c r="A25" s="55" t="s">
        <v>30</v>
      </c>
      <c r="B25" s="104">
        <f ca="1">B26*$G$10</f>
        <v>0</v>
      </c>
      <c r="C25" s="24">
        <f ca="1">C26*$G$10</f>
        <v>0</v>
      </c>
      <c r="D25" s="24">
        <f ca="1">D26*$G$10</f>
        <v>0</v>
      </c>
      <c r="E25" s="24">
        <f ca="1">E26*$G$10</f>
        <v>0</v>
      </c>
      <c r="F25" s="24">
        <f t="shared" ref="F25:Q25" ca="1" si="4">F26*$G$10</f>
        <v>0</v>
      </c>
      <c r="G25" s="24">
        <f t="shared" ca="1" si="4"/>
        <v>0</v>
      </c>
      <c r="H25" s="24">
        <f t="shared" ca="1" si="4"/>
        <v>0</v>
      </c>
      <c r="I25" s="45">
        <f t="shared" ca="1" si="4"/>
        <v>0</v>
      </c>
      <c r="J25" s="24">
        <f t="shared" ca="1" si="4"/>
        <v>0</v>
      </c>
      <c r="K25" s="24">
        <f t="shared" ca="1" si="4"/>
        <v>0</v>
      </c>
      <c r="L25" s="24">
        <f t="shared" ca="1" si="4"/>
        <v>0</v>
      </c>
      <c r="M25" s="24">
        <f t="shared" ca="1" si="4"/>
        <v>0</v>
      </c>
      <c r="N25" s="24">
        <f t="shared" ca="1" si="4"/>
        <v>0</v>
      </c>
      <c r="O25" s="24">
        <f t="shared" ca="1" si="4"/>
        <v>0</v>
      </c>
      <c r="P25" s="24">
        <f t="shared" ca="1" si="4"/>
        <v>0</v>
      </c>
      <c r="Q25" s="45">
        <f t="shared" ca="1" si="4"/>
        <v>0</v>
      </c>
      <c r="R25" s="36">
        <f ca="1">SUM(B25:Q25)</f>
        <v>0</v>
      </c>
    </row>
    <row r="26" spans="1:20" x14ac:dyDescent="0.25">
      <c r="A26" s="31" t="s">
        <v>31</v>
      </c>
      <c r="B26" s="178"/>
      <c r="C26" s="179"/>
      <c r="D26" s="179"/>
      <c r="E26" s="179"/>
      <c r="F26" s="179"/>
      <c r="G26" s="179"/>
      <c r="H26" s="179"/>
      <c r="I26" s="180"/>
      <c r="J26" s="188"/>
      <c r="K26" s="188"/>
      <c r="L26" s="188"/>
      <c r="M26" s="188"/>
      <c r="N26" s="39"/>
      <c r="O26" s="39"/>
      <c r="P26" s="39"/>
      <c r="Q26" s="39"/>
      <c r="R26" s="68">
        <f>SUM(B26:Q26)</f>
        <v>0</v>
      </c>
    </row>
    <row r="27" spans="1:20" x14ac:dyDescent="0.25">
      <c r="A27" s="21" t="s">
        <v>32</v>
      </c>
      <c r="B27" s="105">
        <f ca="1">B20</f>
        <v>0</v>
      </c>
      <c r="C27" s="26">
        <f t="shared" ref="C27:Q27" ca="1" si="5">C20+B27</f>
        <v>0</v>
      </c>
      <c r="D27" s="26">
        <f t="shared" ca="1" si="5"/>
        <v>0</v>
      </c>
      <c r="E27" s="26">
        <f t="shared" ca="1" si="5"/>
        <v>0</v>
      </c>
      <c r="F27" s="26">
        <f t="shared" ca="1" si="5"/>
        <v>0</v>
      </c>
      <c r="G27" s="26">
        <f t="shared" ca="1" si="5"/>
        <v>0</v>
      </c>
      <c r="H27" s="26">
        <f t="shared" ca="1" si="5"/>
        <v>0</v>
      </c>
      <c r="I27" s="46">
        <f t="shared" ca="1" si="5"/>
        <v>0</v>
      </c>
      <c r="J27" s="26">
        <f t="shared" ca="1" si="5"/>
        <v>0</v>
      </c>
      <c r="K27" s="26">
        <f t="shared" ca="1" si="5"/>
        <v>0</v>
      </c>
      <c r="L27" s="26">
        <f t="shared" ca="1" si="5"/>
        <v>0</v>
      </c>
      <c r="M27" s="26">
        <f t="shared" ca="1" si="5"/>
        <v>0</v>
      </c>
      <c r="N27" s="26">
        <f t="shared" ca="1" si="5"/>
        <v>0</v>
      </c>
      <c r="O27" s="26">
        <f t="shared" ca="1" si="5"/>
        <v>0</v>
      </c>
      <c r="P27" s="26">
        <f t="shared" ca="1" si="5"/>
        <v>0</v>
      </c>
      <c r="Q27" s="46">
        <f t="shared" ca="1" si="5"/>
        <v>0</v>
      </c>
      <c r="R27" s="36">
        <f ca="1">Q27</f>
        <v>0</v>
      </c>
    </row>
    <row r="28" spans="1:20" x14ac:dyDescent="0.25">
      <c r="A28" s="33" t="s">
        <v>33</v>
      </c>
      <c r="B28" s="106">
        <f>B22</f>
        <v>0</v>
      </c>
      <c r="C28" s="107">
        <f t="shared" ref="C28:Q28" si="6">B28+C22</f>
        <v>0</v>
      </c>
      <c r="D28" s="107">
        <f t="shared" si="6"/>
        <v>0</v>
      </c>
      <c r="E28" s="107">
        <f t="shared" si="6"/>
        <v>0</v>
      </c>
      <c r="F28" s="107">
        <f t="shared" si="6"/>
        <v>0</v>
      </c>
      <c r="G28" s="107">
        <f t="shared" si="6"/>
        <v>0</v>
      </c>
      <c r="H28" s="107">
        <f t="shared" si="6"/>
        <v>0</v>
      </c>
      <c r="I28" s="67">
        <f t="shared" si="6"/>
        <v>0</v>
      </c>
      <c r="J28" s="66">
        <f t="shared" si="6"/>
        <v>0</v>
      </c>
      <c r="K28" s="66">
        <f t="shared" si="6"/>
        <v>0</v>
      </c>
      <c r="L28" s="66">
        <f t="shared" si="6"/>
        <v>0</v>
      </c>
      <c r="M28" s="66">
        <f t="shared" si="6"/>
        <v>0</v>
      </c>
      <c r="N28" s="66">
        <f t="shared" si="6"/>
        <v>0</v>
      </c>
      <c r="O28" s="66">
        <f t="shared" si="6"/>
        <v>0</v>
      </c>
      <c r="P28" s="66">
        <f t="shared" si="6"/>
        <v>0</v>
      </c>
      <c r="Q28" s="67">
        <f t="shared" si="6"/>
        <v>0</v>
      </c>
      <c r="R28" s="132">
        <f>Q28</f>
        <v>0</v>
      </c>
    </row>
    <row r="29" spans="1:20" ht="15.75" thickBot="1" x14ac:dyDescent="0.3">
      <c r="A29" s="69" t="s">
        <v>34</v>
      </c>
      <c r="B29" s="108">
        <f t="shared" ref="B29:I29" ca="1" si="7">IFERROR(B23/B21,0)</f>
        <v>0</v>
      </c>
      <c r="C29" s="35">
        <f t="shared" ca="1" si="7"/>
        <v>0</v>
      </c>
      <c r="D29" s="35">
        <f t="shared" ca="1" si="7"/>
        <v>0</v>
      </c>
      <c r="E29" s="35">
        <f t="shared" ca="1" si="7"/>
        <v>0</v>
      </c>
      <c r="F29" s="35">
        <f t="shared" ca="1" si="7"/>
        <v>0</v>
      </c>
      <c r="G29" s="35">
        <f t="shared" ca="1" si="7"/>
        <v>0</v>
      </c>
      <c r="H29" s="35">
        <f t="shared" ca="1" si="7"/>
        <v>0</v>
      </c>
      <c r="I29" s="70">
        <f t="shared" ca="1" si="7"/>
        <v>0</v>
      </c>
      <c r="J29" s="35">
        <f t="shared" ref="J29:Q29" ca="1" si="8">IFERROR((J20-J25)/J21,0)</f>
        <v>0</v>
      </c>
      <c r="K29" s="35">
        <f t="shared" ca="1" si="8"/>
        <v>0</v>
      </c>
      <c r="L29" s="35">
        <f t="shared" ca="1" si="8"/>
        <v>0</v>
      </c>
      <c r="M29" s="35">
        <f t="shared" ca="1" si="8"/>
        <v>0</v>
      </c>
      <c r="N29" s="35">
        <f t="shared" ca="1" si="8"/>
        <v>0</v>
      </c>
      <c r="O29" s="35">
        <f t="shared" ca="1" si="8"/>
        <v>0</v>
      </c>
      <c r="P29" s="35">
        <f t="shared" ca="1" si="8"/>
        <v>0</v>
      </c>
      <c r="Q29" s="35">
        <f t="shared" ca="1" si="8"/>
        <v>0</v>
      </c>
      <c r="R29" s="37">
        <f ca="1">IFERROR(R23/R21,0)</f>
        <v>0</v>
      </c>
    </row>
    <row r="30" spans="1:20" ht="15.75" thickBot="1" x14ac:dyDescent="0.3">
      <c r="A30" s="29"/>
      <c r="B30" s="109"/>
      <c r="C30" s="29"/>
      <c r="D30" s="29"/>
      <c r="E30" s="29"/>
      <c r="F30" s="29"/>
      <c r="G30" s="29"/>
      <c r="H30" s="29"/>
      <c r="I30" s="110"/>
      <c r="J30" s="29"/>
      <c r="K30" s="29"/>
      <c r="L30" s="29"/>
      <c r="M30" s="29"/>
      <c r="N30" s="29"/>
      <c r="O30" s="29"/>
      <c r="P30" s="29"/>
      <c r="Q30" s="29"/>
      <c r="R30" s="30"/>
    </row>
    <row r="31" spans="1:20" x14ac:dyDescent="0.25">
      <c r="A31" s="78" t="s">
        <v>49</v>
      </c>
      <c r="B31" s="111">
        <f ca="1">B32*$G$10</f>
        <v>0</v>
      </c>
      <c r="C31" s="79">
        <f ca="1">C32*$G$10</f>
        <v>0</v>
      </c>
      <c r="D31" s="79">
        <f ca="1">D32*$G$10</f>
        <v>0</v>
      </c>
      <c r="E31" s="79">
        <f ca="1">E32*$G$10</f>
        <v>0</v>
      </c>
      <c r="F31" s="79">
        <f t="shared" ref="F31:Q31" ca="1" si="9">F32*$G$10</f>
        <v>0</v>
      </c>
      <c r="G31" s="79">
        <f t="shared" ca="1" si="9"/>
        <v>0</v>
      </c>
      <c r="H31" s="79">
        <f t="shared" ca="1" si="9"/>
        <v>0</v>
      </c>
      <c r="I31" s="80">
        <f t="shared" ca="1" si="9"/>
        <v>0</v>
      </c>
      <c r="J31" s="79">
        <f t="shared" ca="1" si="9"/>
        <v>0</v>
      </c>
      <c r="K31" s="79">
        <f t="shared" ca="1" si="9"/>
        <v>0</v>
      </c>
      <c r="L31" s="79">
        <f t="shared" ca="1" si="9"/>
        <v>0</v>
      </c>
      <c r="M31" s="79">
        <f t="shared" ca="1" si="9"/>
        <v>0</v>
      </c>
      <c r="N31" s="79">
        <f t="shared" ca="1" si="9"/>
        <v>0</v>
      </c>
      <c r="O31" s="79">
        <f t="shared" ca="1" si="9"/>
        <v>0</v>
      </c>
      <c r="P31" s="79">
        <f t="shared" ca="1" si="9"/>
        <v>0</v>
      </c>
      <c r="Q31" s="80">
        <f t="shared" ca="1" si="9"/>
        <v>0</v>
      </c>
      <c r="R31" s="81">
        <f ca="1">SUM(B31:Q31)</f>
        <v>0</v>
      </c>
    </row>
    <row r="32" spans="1:20" x14ac:dyDescent="0.25">
      <c r="A32" s="21" t="s">
        <v>50</v>
      </c>
      <c r="B32" s="178"/>
      <c r="C32" s="179"/>
      <c r="D32" s="179"/>
      <c r="E32" s="179"/>
      <c r="F32" s="179"/>
      <c r="G32" s="179"/>
      <c r="H32" s="179"/>
      <c r="I32" s="180"/>
      <c r="J32" s="188"/>
      <c r="K32" s="188"/>
      <c r="L32" s="188"/>
      <c r="M32" s="188"/>
      <c r="N32" s="188"/>
      <c r="O32" s="188"/>
      <c r="P32" s="188"/>
      <c r="Q32" s="180"/>
      <c r="R32" s="75">
        <f>SUM(B32:Q32)</f>
        <v>0</v>
      </c>
    </row>
    <row r="33" spans="1:18" x14ac:dyDescent="0.25">
      <c r="A33" s="21" t="s">
        <v>51</v>
      </c>
      <c r="B33" s="105">
        <f ca="1">B31</f>
        <v>0</v>
      </c>
      <c r="C33" s="26">
        <f t="shared" ref="C33:O33" ca="1" si="10">C31+B33</f>
        <v>0</v>
      </c>
      <c r="D33" s="26">
        <f t="shared" ca="1" si="10"/>
        <v>0</v>
      </c>
      <c r="E33" s="26">
        <f t="shared" ca="1" si="10"/>
        <v>0</v>
      </c>
      <c r="F33" s="26">
        <f t="shared" ca="1" si="10"/>
        <v>0</v>
      </c>
      <c r="G33" s="26">
        <f t="shared" ca="1" si="10"/>
        <v>0</v>
      </c>
      <c r="H33" s="26">
        <f t="shared" ca="1" si="10"/>
        <v>0</v>
      </c>
      <c r="I33" s="46">
        <f t="shared" ca="1" si="10"/>
        <v>0</v>
      </c>
      <c r="J33" s="26">
        <f t="shared" ca="1" si="10"/>
        <v>0</v>
      </c>
      <c r="K33" s="26">
        <f t="shared" ca="1" si="10"/>
        <v>0</v>
      </c>
      <c r="L33" s="26">
        <f t="shared" ca="1" si="10"/>
        <v>0</v>
      </c>
      <c r="M33" s="26">
        <f t="shared" ca="1" si="10"/>
        <v>0</v>
      </c>
      <c r="N33" s="26">
        <f t="shared" ca="1" si="10"/>
        <v>0</v>
      </c>
      <c r="O33" s="26">
        <f t="shared" ca="1" si="10"/>
        <v>0</v>
      </c>
      <c r="P33" s="26">
        <f ca="1">P31+O33</f>
        <v>0</v>
      </c>
      <c r="Q33" s="46">
        <f ca="1">Q31+P33</f>
        <v>0</v>
      </c>
      <c r="R33" s="76">
        <f ca="1">Q33</f>
        <v>0</v>
      </c>
    </row>
    <row r="34" spans="1:18" ht="30.75" thickBot="1" x14ac:dyDescent="0.3">
      <c r="A34" s="34" t="s">
        <v>52</v>
      </c>
      <c r="B34" s="108">
        <f t="shared" ref="B34:Q34" ca="1" si="11">B27-B33</f>
        <v>0</v>
      </c>
      <c r="C34" s="35">
        <f t="shared" ca="1" si="11"/>
        <v>0</v>
      </c>
      <c r="D34" s="35">
        <f t="shared" ca="1" si="11"/>
        <v>0</v>
      </c>
      <c r="E34" s="35">
        <f t="shared" ca="1" si="11"/>
        <v>0</v>
      </c>
      <c r="F34" s="35">
        <f t="shared" ca="1" si="11"/>
        <v>0</v>
      </c>
      <c r="G34" s="35">
        <f t="shared" ca="1" si="11"/>
        <v>0</v>
      </c>
      <c r="H34" s="35">
        <f t="shared" ca="1" si="11"/>
        <v>0</v>
      </c>
      <c r="I34" s="70">
        <f t="shared" ca="1" si="11"/>
        <v>0</v>
      </c>
      <c r="J34" s="35">
        <f t="shared" ca="1" si="11"/>
        <v>0</v>
      </c>
      <c r="K34" s="35">
        <f t="shared" ca="1" si="11"/>
        <v>0</v>
      </c>
      <c r="L34" s="35">
        <f t="shared" ca="1" si="11"/>
        <v>0</v>
      </c>
      <c r="M34" s="35">
        <f t="shared" ca="1" si="11"/>
        <v>0</v>
      </c>
      <c r="N34" s="35">
        <f t="shared" ca="1" si="11"/>
        <v>0</v>
      </c>
      <c r="O34" s="35">
        <f t="shared" ca="1" si="11"/>
        <v>0</v>
      </c>
      <c r="P34" s="35">
        <f ca="1">P27-P33</f>
        <v>0</v>
      </c>
      <c r="Q34" s="70">
        <f t="shared" ca="1" si="11"/>
        <v>0</v>
      </c>
      <c r="R34" s="77">
        <f ca="1">Q34</f>
        <v>0</v>
      </c>
    </row>
    <row r="35" spans="1:18" x14ac:dyDescent="0.25">
      <c r="A35" s="27"/>
      <c r="B35" s="139"/>
      <c r="C35" s="140"/>
      <c r="D35" s="140"/>
      <c r="E35" s="140"/>
      <c r="F35" s="140"/>
      <c r="G35" s="140"/>
      <c r="H35" s="140"/>
      <c r="I35" s="141"/>
      <c r="J35" s="26"/>
      <c r="K35" s="26"/>
      <c r="L35" s="26"/>
      <c r="M35" s="26"/>
      <c r="N35" s="26"/>
      <c r="O35" s="26"/>
      <c r="P35" s="26"/>
      <c r="Q35" s="26"/>
      <c r="R35" s="25"/>
    </row>
    <row r="36" spans="1:18" x14ac:dyDescent="0.25">
      <c r="A36" s="40" t="s">
        <v>53</v>
      </c>
      <c r="B36" s="112">
        <f ca="1">SUM(B37:B39)</f>
        <v>0</v>
      </c>
      <c r="C36" s="41">
        <f t="shared" ref="C36:Q36" ca="1" si="12">SUM(C37:C39)</f>
        <v>0</v>
      </c>
      <c r="D36" s="41">
        <f t="shared" ca="1" si="12"/>
        <v>0</v>
      </c>
      <c r="E36" s="41">
        <f t="shared" ca="1" si="12"/>
        <v>0</v>
      </c>
      <c r="F36" s="41">
        <f t="shared" ca="1" si="12"/>
        <v>0</v>
      </c>
      <c r="G36" s="41">
        <f t="shared" ca="1" si="12"/>
        <v>0</v>
      </c>
      <c r="H36" s="41">
        <f t="shared" ca="1" si="12"/>
        <v>0</v>
      </c>
      <c r="I36" s="113">
        <f t="shared" ca="1" si="12"/>
        <v>0</v>
      </c>
      <c r="J36" s="41">
        <f t="shared" ca="1" si="12"/>
        <v>0</v>
      </c>
      <c r="K36" s="41">
        <f t="shared" ca="1" si="12"/>
        <v>0</v>
      </c>
      <c r="L36" s="41">
        <f t="shared" ca="1" si="12"/>
        <v>0</v>
      </c>
      <c r="M36" s="41">
        <f t="shared" ca="1" si="12"/>
        <v>0</v>
      </c>
      <c r="N36" s="41">
        <f t="shared" ca="1" si="12"/>
        <v>0</v>
      </c>
      <c r="O36" s="41">
        <f t="shared" ca="1" si="12"/>
        <v>0</v>
      </c>
      <c r="P36" s="41">
        <f t="shared" ca="1" si="12"/>
        <v>0</v>
      </c>
      <c r="Q36" s="41">
        <f t="shared" ca="1" si="12"/>
        <v>0</v>
      </c>
      <c r="R36" s="42">
        <f ca="1">SUM(B36:Q36)</f>
        <v>0</v>
      </c>
    </row>
    <row r="37" spans="1:18" x14ac:dyDescent="0.25">
      <c r="A37" s="10" t="s">
        <v>54</v>
      </c>
      <c r="B37" s="215">
        <f>(B40*$G$9)+B41</f>
        <v>0</v>
      </c>
      <c r="C37" s="24">
        <f>(C40*$G$9)+C41</f>
        <v>0</v>
      </c>
      <c r="D37" s="24">
        <f t="shared" ref="D37:Q37" si="13">(D40*$G$9)+D41</f>
        <v>0</v>
      </c>
      <c r="E37" s="24">
        <f t="shared" si="13"/>
        <v>0</v>
      </c>
      <c r="F37" s="24">
        <f t="shared" si="13"/>
        <v>0</v>
      </c>
      <c r="G37" s="24">
        <f t="shared" si="13"/>
        <v>0</v>
      </c>
      <c r="H37" s="24">
        <f t="shared" si="13"/>
        <v>0</v>
      </c>
      <c r="I37" s="45">
        <f t="shared" si="13"/>
        <v>0</v>
      </c>
      <c r="J37" s="38">
        <f t="shared" si="13"/>
        <v>0</v>
      </c>
      <c r="K37" s="38">
        <f t="shared" si="13"/>
        <v>0</v>
      </c>
      <c r="L37" s="38">
        <f t="shared" si="13"/>
        <v>0</v>
      </c>
      <c r="M37" s="38">
        <f t="shared" si="13"/>
        <v>0</v>
      </c>
      <c r="N37" s="38">
        <f t="shared" si="13"/>
        <v>0</v>
      </c>
      <c r="O37" s="38">
        <f t="shared" si="13"/>
        <v>0</v>
      </c>
      <c r="P37" s="38">
        <f t="shared" si="13"/>
        <v>0</v>
      </c>
      <c r="Q37" s="38">
        <f t="shared" si="13"/>
        <v>0</v>
      </c>
      <c r="R37" s="36">
        <f>SUM(B37:Q37)</f>
        <v>0</v>
      </c>
    </row>
    <row r="38" spans="1:18" x14ac:dyDescent="0.25">
      <c r="A38" s="10" t="s">
        <v>55</v>
      </c>
      <c r="B38" s="104">
        <f ca="1">B42*B34</f>
        <v>0</v>
      </c>
      <c r="C38" s="24">
        <f t="shared" ref="C38:Q38" ca="1" si="14">C42*((C34+B34)/2)</f>
        <v>0</v>
      </c>
      <c r="D38" s="24">
        <f t="shared" ca="1" si="14"/>
        <v>0</v>
      </c>
      <c r="E38" s="24">
        <f t="shared" ca="1" si="14"/>
        <v>0</v>
      </c>
      <c r="F38" s="24">
        <f t="shared" ca="1" si="14"/>
        <v>0</v>
      </c>
      <c r="G38" s="24">
        <f t="shared" ca="1" si="14"/>
        <v>0</v>
      </c>
      <c r="H38" s="24">
        <f t="shared" ca="1" si="14"/>
        <v>0</v>
      </c>
      <c r="I38" s="45">
        <f t="shared" ca="1" si="14"/>
        <v>0</v>
      </c>
      <c r="J38" s="24">
        <f t="shared" ca="1" si="14"/>
        <v>0</v>
      </c>
      <c r="K38" s="24">
        <f t="shared" ca="1" si="14"/>
        <v>0</v>
      </c>
      <c r="L38" s="24">
        <f t="shared" ca="1" si="14"/>
        <v>0</v>
      </c>
      <c r="M38" s="24">
        <f t="shared" ca="1" si="14"/>
        <v>0</v>
      </c>
      <c r="N38" s="24">
        <f t="shared" ca="1" si="14"/>
        <v>0</v>
      </c>
      <c r="O38" s="24">
        <f t="shared" ca="1" si="14"/>
        <v>0</v>
      </c>
      <c r="P38" s="24">
        <f t="shared" ca="1" si="14"/>
        <v>0</v>
      </c>
      <c r="Q38" s="24">
        <f t="shared" ca="1" si="14"/>
        <v>0</v>
      </c>
      <c r="R38" s="36">
        <f ca="1">SUM(B38:Q38)</f>
        <v>0</v>
      </c>
    </row>
    <row r="39" spans="1:18" x14ac:dyDescent="0.25">
      <c r="A39" s="10" t="s">
        <v>60</v>
      </c>
      <c r="B39" s="216"/>
      <c r="C39" s="217"/>
      <c r="D39" s="217"/>
      <c r="E39" s="217"/>
      <c r="F39" s="217"/>
      <c r="G39" s="217"/>
      <c r="H39" s="217"/>
      <c r="I39" s="218"/>
      <c r="J39" s="181"/>
      <c r="K39" s="181"/>
      <c r="L39" s="181"/>
      <c r="M39" s="181"/>
      <c r="N39" s="181"/>
      <c r="O39" s="181"/>
      <c r="P39" s="181"/>
      <c r="Q39" s="181"/>
      <c r="R39" s="36">
        <f>SUM(B39:Q39)</f>
        <v>0</v>
      </c>
    </row>
    <row r="40" spans="1:18" x14ac:dyDescent="0.25">
      <c r="A40" s="10" t="s">
        <v>56</v>
      </c>
      <c r="B40" s="138">
        <f>IF(G6=2,0%,1.5%)</f>
        <v>1.4999999999999999E-2</v>
      </c>
      <c r="C40" s="136">
        <f>IF(G6=2,0%,1.35%)</f>
        <v>1.3500000000000002E-2</v>
      </c>
      <c r="D40" s="136">
        <f>IF(G6=2,0%,1.2%)</f>
        <v>1.2E-2</v>
      </c>
      <c r="E40" s="136">
        <f>IF(G6=2,0%,1.05%)</f>
        <v>1.0500000000000001E-2</v>
      </c>
      <c r="F40" s="136">
        <f>IF(G6=2,0%,0.9%)</f>
        <v>9.0000000000000011E-3</v>
      </c>
      <c r="G40" s="136">
        <f>IF(G6=2,0%,0.75%)</f>
        <v>7.4999999999999997E-3</v>
      </c>
      <c r="H40" s="136">
        <f>IF(G6=2,0%,0.6%)</f>
        <v>6.0000000000000001E-3</v>
      </c>
      <c r="I40" s="137">
        <f>IF(G6=2,0%,0.45%)</f>
        <v>4.5000000000000005E-3</v>
      </c>
      <c r="J40" s="38"/>
      <c r="K40" s="38"/>
      <c r="L40" s="38"/>
      <c r="M40" s="38"/>
      <c r="N40" s="38"/>
      <c r="O40" s="38"/>
      <c r="P40" s="38"/>
      <c r="Q40" s="38"/>
      <c r="R40" s="36"/>
    </row>
    <row r="41" spans="1:18" x14ac:dyDescent="0.25">
      <c r="A41" s="10" t="s">
        <v>58</v>
      </c>
      <c r="B41" s="211">
        <f>IF($G$6=2,100,0)</f>
        <v>0</v>
      </c>
      <c r="C41" s="212">
        <f>IF($G$6=2,20,0)</f>
        <v>0</v>
      </c>
      <c r="D41" s="212">
        <f t="shared" ref="D41:I41" si="15">IF($G$6=2,20,0)</f>
        <v>0</v>
      </c>
      <c r="E41" s="212">
        <f t="shared" si="15"/>
        <v>0</v>
      </c>
      <c r="F41" s="212">
        <f t="shared" si="15"/>
        <v>0</v>
      </c>
      <c r="G41" s="212">
        <f t="shared" si="15"/>
        <v>0</v>
      </c>
      <c r="H41" s="212">
        <f t="shared" si="15"/>
        <v>0</v>
      </c>
      <c r="I41" s="213">
        <f t="shared" si="15"/>
        <v>0</v>
      </c>
      <c r="J41" s="214"/>
      <c r="K41" s="214"/>
      <c r="L41" s="214"/>
      <c r="M41" s="214"/>
      <c r="N41" s="214"/>
      <c r="O41" s="214"/>
      <c r="P41" s="214"/>
      <c r="Q41" s="214"/>
      <c r="R41" s="36"/>
    </row>
    <row r="42" spans="1:18" x14ac:dyDescent="0.25">
      <c r="A42" s="10" t="s">
        <v>57</v>
      </c>
      <c r="B42" s="209">
        <f>IF($G$6=1,2.5%,1.75%)</f>
        <v>2.5000000000000001E-2</v>
      </c>
      <c r="C42" s="133">
        <f t="shared" ref="C42:I42" si="16">IF($G$6=1,2.5%,1.75%)</f>
        <v>2.5000000000000001E-2</v>
      </c>
      <c r="D42" s="133">
        <f t="shared" si="16"/>
        <v>2.5000000000000001E-2</v>
      </c>
      <c r="E42" s="133">
        <f t="shared" si="16"/>
        <v>2.5000000000000001E-2</v>
      </c>
      <c r="F42" s="133">
        <f t="shared" si="16"/>
        <v>2.5000000000000001E-2</v>
      </c>
      <c r="G42" s="133">
        <f t="shared" si="16"/>
        <v>2.5000000000000001E-2</v>
      </c>
      <c r="H42" s="133">
        <f t="shared" si="16"/>
        <v>2.5000000000000001E-2</v>
      </c>
      <c r="I42" s="134">
        <f t="shared" si="16"/>
        <v>2.5000000000000001E-2</v>
      </c>
      <c r="J42" s="133">
        <v>1.2500000000000001E-2</v>
      </c>
      <c r="K42" s="133">
        <v>1.2500000000000001E-2</v>
      </c>
      <c r="L42" s="133">
        <v>1.2500000000000001E-2</v>
      </c>
      <c r="M42" s="133">
        <v>1.2500000000000001E-2</v>
      </c>
      <c r="N42" s="133">
        <v>1.2500000000000001E-2</v>
      </c>
      <c r="O42" s="133">
        <v>1.2500000000000001E-2</v>
      </c>
      <c r="P42" s="133">
        <v>1.2500000000000001E-2</v>
      </c>
      <c r="Q42" s="134">
        <v>1.2500000000000001E-2</v>
      </c>
      <c r="R42" s="36"/>
    </row>
    <row r="43" spans="1:18" x14ac:dyDescent="0.25">
      <c r="A43" s="152" t="s">
        <v>21</v>
      </c>
      <c r="B43" s="221">
        <f ca="1">IFERROR(B46/(B46+B27),0)</f>
        <v>0</v>
      </c>
      <c r="C43" s="222">
        <f t="shared" ref="C43:Q43" ca="1" si="17">IFERROR(C46/(C46+C27),0)</f>
        <v>0</v>
      </c>
      <c r="D43" s="222">
        <f t="shared" ca="1" si="17"/>
        <v>0</v>
      </c>
      <c r="E43" s="222">
        <f t="shared" ca="1" si="17"/>
        <v>0</v>
      </c>
      <c r="F43" s="223">
        <f t="shared" ca="1" si="17"/>
        <v>0</v>
      </c>
      <c r="G43" s="223">
        <f t="shared" ca="1" si="17"/>
        <v>0</v>
      </c>
      <c r="H43" s="223">
        <f t="shared" ca="1" si="17"/>
        <v>0</v>
      </c>
      <c r="I43" s="224">
        <f t="shared" ca="1" si="17"/>
        <v>0</v>
      </c>
      <c r="J43" s="225">
        <f t="shared" ca="1" si="17"/>
        <v>0</v>
      </c>
      <c r="K43" s="225">
        <f t="shared" ca="1" si="17"/>
        <v>0</v>
      </c>
      <c r="L43" s="225">
        <f t="shared" ca="1" si="17"/>
        <v>0</v>
      </c>
      <c r="M43" s="225">
        <f t="shared" ca="1" si="17"/>
        <v>0</v>
      </c>
      <c r="N43" s="225">
        <f t="shared" ca="1" si="17"/>
        <v>0</v>
      </c>
      <c r="O43" s="225">
        <f t="shared" ca="1" si="17"/>
        <v>0</v>
      </c>
      <c r="P43" s="225">
        <f t="shared" ca="1" si="17"/>
        <v>0</v>
      </c>
      <c r="Q43" s="226">
        <f t="shared" ca="1" si="17"/>
        <v>0</v>
      </c>
      <c r="R43" s="36"/>
    </row>
    <row r="44" spans="1:18" x14ac:dyDescent="0.25">
      <c r="A44" s="219" t="s">
        <v>22</v>
      </c>
      <c r="B44" s="221">
        <f ca="1">IFERROR(B46/B27,0)</f>
        <v>0</v>
      </c>
      <c r="C44" s="210">
        <f t="shared" ref="C44:Q44" ca="1" si="18">IFERROR(C46/C27,0)</f>
        <v>0</v>
      </c>
      <c r="D44" s="210">
        <f t="shared" ca="1" si="18"/>
        <v>0</v>
      </c>
      <c r="E44" s="210">
        <f t="shared" ca="1" si="18"/>
        <v>0</v>
      </c>
      <c r="F44" s="114">
        <f t="shared" ca="1" si="18"/>
        <v>0</v>
      </c>
      <c r="G44" s="114">
        <f t="shared" ca="1" si="18"/>
        <v>0</v>
      </c>
      <c r="H44" s="114">
        <f t="shared" ca="1" si="18"/>
        <v>0</v>
      </c>
      <c r="I44" s="115">
        <f t="shared" ca="1" si="18"/>
        <v>0</v>
      </c>
      <c r="J44" s="39">
        <f t="shared" ca="1" si="18"/>
        <v>0</v>
      </c>
      <c r="K44" s="39">
        <f t="shared" ca="1" si="18"/>
        <v>0</v>
      </c>
      <c r="L44" s="39">
        <f t="shared" ca="1" si="18"/>
        <v>0</v>
      </c>
      <c r="M44" s="39">
        <f t="shared" ca="1" si="18"/>
        <v>0</v>
      </c>
      <c r="N44" s="39">
        <f t="shared" ca="1" si="18"/>
        <v>0</v>
      </c>
      <c r="O44" s="39">
        <f t="shared" ca="1" si="18"/>
        <v>0</v>
      </c>
      <c r="P44" s="39">
        <f t="shared" ca="1" si="18"/>
        <v>0</v>
      </c>
      <c r="Q44" s="39">
        <f t="shared" ca="1" si="18"/>
        <v>0</v>
      </c>
      <c r="R44" s="220"/>
    </row>
    <row r="45" spans="1:18" x14ac:dyDescent="0.25">
      <c r="A45" s="40" t="s">
        <v>59</v>
      </c>
      <c r="B45" s="112">
        <f ca="1">B36</f>
        <v>0</v>
      </c>
      <c r="C45" s="41">
        <f t="shared" ref="C45:Q45" ca="1" si="19">B45+C36</f>
        <v>0</v>
      </c>
      <c r="D45" s="41">
        <f t="shared" ca="1" si="19"/>
        <v>0</v>
      </c>
      <c r="E45" s="41">
        <f t="shared" ca="1" si="19"/>
        <v>0</v>
      </c>
      <c r="F45" s="41">
        <f t="shared" ca="1" si="19"/>
        <v>0</v>
      </c>
      <c r="G45" s="41">
        <f t="shared" ca="1" si="19"/>
        <v>0</v>
      </c>
      <c r="H45" s="41">
        <f t="shared" ca="1" si="19"/>
        <v>0</v>
      </c>
      <c r="I45" s="113">
        <f t="shared" ca="1" si="19"/>
        <v>0</v>
      </c>
      <c r="J45" s="41">
        <f t="shared" ca="1" si="19"/>
        <v>0</v>
      </c>
      <c r="K45" s="41">
        <f t="shared" ca="1" si="19"/>
        <v>0</v>
      </c>
      <c r="L45" s="41">
        <f t="shared" ca="1" si="19"/>
        <v>0</v>
      </c>
      <c r="M45" s="41">
        <f t="shared" ca="1" si="19"/>
        <v>0</v>
      </c>
      <c r="N45" s="41">
        <f t="shared" ca="1" si="19"/>
        <v>0</v>
      </c>
      <c r="O45" s="41">
        <f t="shared" ca="1" si="19"/>
        <v>0</v>
      </c>
      <c r="P45" s="41">
        <f t="shared" ca="1" si="19"/>
        <v>0</v>
      </c>
      <c r="Q45" s="41">
        <f t="shared" ca="1" si="19"/>
        <v>0</v>
      </c>
      <c r="R45" s="42">
        <f ca="1">Q45</f>
        <v>0</v>
      </c>
    </row>
    <row r="46" spans="1:18" x14ac:dyDescent="0.25">
      <c r="A46" s="40" t="s">
        <v>61</v>
      </c>
      <c r="B46" s="112">
        <f ca="1">SUM(B37:B38)</f>
        <v>0</v>
      </c>
      <c r="C46" s="41">
        <f ca="1">B46+SUM(C37:C38)</f>
        <v>0</v>
      </c>
      <c r="D46" s="41">
        <f t="shared" ref="D46:Q46" ca="1" si="20">C46+SUM(D37:D38)</f>
        <v>0</v>
      </c>
      <c r="E46" s="41">
        <f t="shared" ca="1" si="20"/>
        <v>0</v>
      </c>
      <c r="F46" s="41">
        <f t="shared" ca="1" si="20"/>
        <v>0</v>
      </c>
      <c r="G46" s="41">
        <f t="shared" ca="1" si="20"/>
        <v>0</v>
      </c>
      <c r="H46" s="41">
        <f t="shared" ca="1" si="20"/>
        <v>0</v>
      </c>
      <c r="I46" s="113">
        <f t="shared" ca="1" si="20"/>
        <v>0</v>
      </c>
      <c r="J46" s="41">
        <f t="shared" ca="1" si="20"/>
        <v>0</v>
      </c>
      <c r="K46" s="41">
        <f t="shared" ca="1" si="20"/>
        <v>0</v>
      </c>
      <c r="L46" s="41">
        <f t="shared" ca="1" si="20"/>
        <v>0</v>
      </c>
      <c r="M46" s="41">
        <f t="shared" ca="1" si="20"/>
        <v>0</v>
      </c>
      <c r="N46" s="41">
        <f t="shared" ca="1" si="20"/>
        <v>0</v>
      </c>
      <c r="O46" s="41">
        <f t="shared" ca="1" si="20"/>
        <v>0</v>
      </c>
      <c r="P46" s="41">
        <f t="shared" ca="1" si="20"/>
        <v>0</v>
      </c>
      <c r="Q46" s="41">
        <f t="shared" ca="1" si="20"/>
        <v>0</v>
      </c>
      <c r="R46" s="42">
        <f ca="1">Q46</f>
        <v>0</v>
      </c>
    </row>
    <row r="47" spans="1:18" ht="15.75" thickBot="1" x14ac:dyDescent="0.3">
      <c r="A47" s="29"/>
      <c r="B47" s="142"/>
      <c r="C47" s="143"/>
      <c r="D47" s="143"/>
      <c r="E47" s="143"/>
      <c r="F47" s="143"/>
      <c r="G47" s="143"/>
      <c r="H47" s="143"/>
      <c r="I47" s="144"/>
      <c r="J47" s="29"/>
      <c r="K47" s="29"/>
      <c r="L47" s="29"/>
      <c r="M47" s="29"/>
      <c r="N47" s="29"/>
      <c r="O47" s="29"/>
      <c r="P47" s="29"/>
      <c r="Q47" s="29"/>
      <c r="R47" s="28"/>
    </row>
    <row r="48" spans="1:18" x14ac:dyDescent="0.25">
      <c r="A48" s="43" t="s">
        <v>67</v>
      </c>
      <c r="B48" s="116">
        <f>SUM(B49:B53)</f>
        <v>0</v>
      </c>
      <c r="C48" s="44">
        <f t="shared" ref="C48:Q48" si="21">SUM(C49:C53)</f>
        <v>0</v>
      </c>
      <c r="D48" s="44">
        <f t="shared" si="21"/>
        <v>0</v>
      </c>
      <c r="E48" s="44">
        <f t="shared" si="21"/>
        <v>0</v>
      </c>
      <c r="F48" s="44">
        <f t="shared" si="21"/>
        <v>0</v>
      </c>
      <c r="G48" s="44">
        <f t="shared" si="21"/>
        <v>0</v>
      </c>
      <c r="H48" s="44">
        <f t="shared" si="21"/>
        <v>0</v>
      </c>
      <c r="I48" s="117">
        <f t="shared" si="21"/>
        <v>0</v>
      </c>
      <c r="J48" s="44">
        <f t="shared" si="21"/>
        <v>0</v>
      </c>
      <c r="K48" s="44">
        <f t="shared" si="21"/>
        <v>0</v>
      </c>
      <c r="L48" s="44">
        <f t="shared" si="21"/>
        <v>0</v>
      </c>
      <c r="M48" s="44">
        <f t="shared" si="21"/>
        <v>0</v>
      </c>
      <c r="N48" s="44">
        <f t="shared" si="21"/>
        <v>0</v>
      </c>
      <c r="O48" s="44">
        <f t="shared" si="21"/>
        <v>0</v>
      </c>
      <c r="P48" s="44">
        <f t="shared" si="21"/>
        <v>0</v>
      </c>
      <c r="Q48" s="44">
        <f t="shared" si="21"/>
        <v>0</v>
      </c>
      <c r="R48" s="47">
        <f t="shared" ref="R48:R53" si="22">SUM(B48:Q48)</f>
        <v>0</v>
      </c>
    </row>
    <row r="49" spans="1:19" x14ac:dyDescent="0.25">
      <c r="A49" s="33" t="s">
        <v>62</v>
      </c>
      <c r="B49" s="182"/>
      <c r="C49" s="183"/>
      <c r="D49" s="183"/>
      <c r="E49" s="183"/>
      <c r="F49" s="183"/>
      <c r="G49" s="183"/>
      <c r="H49" s="183"/>
      <c r="I49" s="184"/>
      <c r="J49" s="183"/>
      <c r="K49" s="183"/>
      <c r="L49" s="183"/>
      <c r="M49" s="183"/>
      <c r="N49" s="183"/>
      <c r="O49" s="183"/>
      <c r="P49" s="183"/>
      <c r="Q49" s="183"/>
      <c r="R49" s="36">
        <f t="shared" si="22"/>
        <v>0</v>
      </c>
      <c r="S49" s="156"/>
    </row>
    <row r="50" spans="1:19" x14ac:dyDescent="0.25">
      <c r="A50" s="33" t="s">
        <v>63</v>
      </c>
      <c r="B50" s="185"/>
      <c r="C50" s="186"/>
      <c r="D50" s="186"/>
      <c r="E50" s="186"/>
      <c r="F50" s="186"/>
      <c r="G50" s="186"/>
      <c r="H50" s="186"/>
      <c r="I50" s="187"/>
      <c r="J50" s="186"/>
      <c r="K50" s="186"/>
      <c r="L50" s="186"/>
      <c r="M50" s="186"/>
      <c r="N50" s="186"/>
      <c r="O50" s="186"/>
      <c r="P50" s="186"/>
      <c r="Q50" s="186"/>
      <c r="R50" s="36">
        <f>SUM(B50:Q50)</f>
        <v>0</v>
      </c>
      <c r="S50" s="156"/>
    </row>
    <row r="51" spans="1:19" x14ac:dyDescent="0.25">
      <c r="A51" s="10" t="s">
        <v>64</v>
      </c>
      <c r="B51" s="153"/>
      <c r="C51" s="154"/>
      <c r="D51" s="154"/>
      <c r="E51" s="154"/>
      <c r="F51" s="154"/>
      <c r="G51" s="154"/>
      <c r="H51" s="154"/>
      <c r="I51" s="155"/>
      <c r="J51" s="154"/>
      <c r="K51" s="154"/>
      <c r="L51" s="154"/>
      <c r="M51" s="154"/>
      <c r="N51" s="154"/>
      <c r="O51" s="154"/>
      <c r="P51" s="154"/>
      <c r="Q51" s="186"/>
      <c r="R51" s="36">
        <f t="shared" si="22"/>
        <v>0</v>
      </c>
      <c r="S51" s="156"/>
    </row>
    <row r="52" spans="1:19" x14ac:dyDescent="0.25">
      <c r="A52" s="10" t="s">
        <v>65</v>
      </c>
      <c r="B52" s="104">
        <f>B74*6</f>
        <v>0</v>
      </c>
      <c r="C52" s="24">
        <f t="shared" ref="C52:Q52" si="23">C74*6</f>
        <v>0</v>
      </c>
      <c r="D52" s="24">
        <f t="shared" si="23"/>
        <v>0</v>
      </c>
      <c r="E52" s="24">
        <f t="shared" si="23"/>
        <v>0</v>
      </c>
      <c r="F52" s="24">
        <f t="shared" si="23"/>
        <v>0</v>
      </c>
      <c r="G52" s="24">
        <f t="shared" si="23"/>
        <v>0</v>
      </c>
      <c r="H52" s="24">
        <f t="shared" si="23"/>
        <v>0</v>
      </c>
      <c r="I52" s="45">
        <f t="shared" si="23"/>
        <v>0</v>
      </c>
      <c r="J52" s="24">
        <f t="shared" si="23"/>
        <v>0</v>
      </c>
      <c r="K52" s="24">
        <f t="shared" si="23"/>
        <v>0</v>
      </c>
      <c r="L52" s="24">
        <f t="shared" si="23"/>
        <v>0</v>
      </c>
      <c r="M52" s="24">
        <f t="shared" si="23"/>
        <v>0</v>
      </c>
      <c r="N52" s="24">
        <f t="shared" si="23"/>
        <v>0</v>
      </c>
      <c r="O52" s="24">
        <f t="shared" si="23"/>
        <v>0</v>
      </c>
      <c r="P52" s="24">
        <f t="shared" si="23"/>
        <v>0</v>
      </c>
      <c r="Q52" s="24">
        <f t="shared" si="23"/>
        <v>0</v>
      </c>
      <c r="R52" s="36">
        <f t="shared" si="22"/>
        <v>0</v>
      </c>
      <c r="S52" s="156"/>
    </row>
    <row r="53" spans="1:19" x14ac:dyDescent="0.25">
      <c r="A53" s="10" t="s">
        <v>66</v>
      </c>
      <c r="B53" s="172"/>
      <c r="C53" s="173"/>
      <c r="D53" s="173"/>
      <c r="E53" s="173"/>
      <c r="F53" s="173"/>
      <c r="G53" s="173"/>
      <c r="H53" s="173"/>
      <c r="I53" s="174"/>
      <c r="J53" s="173"/>
      <c r="K53" s="173"/>
      <c r="L53" s="173"/>
      <c r="M53" s="173"/>
      <c r="N53" s="173"/>
      <c r="O53" s="173"/>
      <c r="P53" s="173"/>
      <c r="Q53" s="173"/>
      <c r="R53" s="36">
        <f t="shared" si="22"/>
        <v>0</v>
      </c>
      <c r="S53" s="169" t="e">
        <f>IF(R53/R48&gt;0.1,"Proszę opisać w polu J53 główne składowe pozycji R50"," ")</f>
        <v>#DIV/0!</v>
      </c>
    </row>
    <row r="54" spans="1:19" ht="15.75" thickBot="1" x14ac:dyDescent="0.3">
      <c r="A54" s="50" t="s">
        <v>68</v>
      </c>
      <c r="B54" s="118">
        <f>B48</f>
        <v>0</v>
      </c>
      <c r="C54" s="61">
        <f t="shared" ref="C54:Q54" si="24">B54+C48</f>
        <v>0</v>
      </c>
      <c r="D54" s="61">
        <f t="shared" si="24"/>
        <v>0</v>
      </c>
      <c r="E54" s="61">
        <f t="shared" si="24"/>
        <v>0</v>
      </c>
      <c r="F54" s="61">
        <f t="shared" si="24"/>
        <v>0</v>
      </c>
      <c r="G54" s="61">
        <f t="shared" si="24"/>
        <v>0</v>
      </c>
      <c r="H54" s="61">
        <f t="shared" si="24"/>
        <v>0</v>
      </c>
      <c r="I54" s="119">
        <f t="shared" si="24"/>
        <v>0</v>
      </c>
      <c r="J54" s="61">
        <f t="shared" si="24"/>
        <v>0</v>
      </c>
      <c r="K54" s="61">
        <f t="shared" si="24"/>
        <v>0</v>
      </c>
      <c r="L54" s="61">
        <f t="shared" si="24"/>
        <v>0</v>
      </c>
      <c r="M54" s="61">
        <f t="shared" si="24"/>
        <v>0</v>
      </c>
      <c r="N54" s="61">
        <f t="shared" si="24"/>
        <v>0</v>
      </c>
      <c r="O54" s="61">
        <f t="shared" si="24"/>
        <v>0</v>
      </c>
      <c r="P54" s="61">
        <f t="shared" si="24"/>
        <v>0</v>
      </c>
      <c r="Q54" s="61">
        <f t="shared" si="24"/>
        <v>0</v>
      </c>
      <c r="R54" s="62">
        <f>Q54</f>
        <v>0</v>
      </c>
    </row>
    <row r="55" spans="1:19" ht="15.75" thickBot="1" x14ac:dyDescent="0.3">
      <c r="A55" s="64" t="s">
        <v>69</v>
      </c>
      <c r="B55" s="120">
        <f t="shared" ref="B55:Q55" ca="1" si="25">B45-B54</f>
        <v>0</v>
      </c>
      <c r="C55" s="59">
        <f t="shared" ca="1" si="25"/>
        <v>0</v>
      </c>
      <c r="D55" s="59">
        <f t="shared" ca="1" si="25"/>
        <v>0</v>
      </c>
      <c r="E55" s="59">
        <f t="shared" ca="1" si="25"/>
        <v>0</v>
      </c>
      <c r="F55" s="59">
        <f t="shared" ca="1" si="25"/>
        <v>0</v>
      </c>
      <c r="G55" s="59">
        <f t="shared" ca="1" si="25"/>
        <v>0</v>
      </c>
      <c r="H55" s="59">
        <f t="shared" ca="1" si="25"/>
        <v>0</v>
      </c>
      <c r="I55" s="121">
        <f t="shared" ca="1" si="25"/>
        <v>0</v>
      </c>
      <c r="J55" s="59">
        <f t="shared" ca="1" si="25"/>
        <v>0</v>
      </c>
      <c r="K55" s="59">
        <f t="shared" ca="1" si="25"/>
        <v>0</v>
      </c>
      <c r="L55" s="59">
        <f t="shared" ca="1" si="25"/>
        <v>0</v>
      </c>
      <c r="M55" s="59">
        <f t="shared" ca="1" si="25"/>
        <v>0</v>
      </c>
      <c r="N55" s="59">
        <f t="shared" ca="1" si="25"/>
        <v>0</v>
      </c>
      <c r="O55" s="59">
        <f t="shared" ca="1" si="25"/>
        <v>0</v>
      </c>
      <c r="P55" s="59">
        <f t="shared" ca="1" si="25"/>
        <v>0</v>
      </c>
      <c r="Q55" s="59">
        <f t="shared" ca="1" si="25"/>
        <v>0</v>
      </c>
      <c r="R55" s="60">
        <f ca="1">Q55</f>
        <v>0</v>
      </c>
    </row>
    <row r="56" spans="1:19" x14ac:dyDescent="0.25">
      <c r="A56" s="57"/>
      <c r="B56" s="122"/>
      <c r="C56" s="3"/>
      <c r="D56" s="3"/>
      <c r="E56" s="3"/>
      <c r="F56" s="3"/>
      <c r="G56" s="3"/>
      <c r="H56" s="3"/>
      <c r="I56" s="123"/>
      <c r="J56" s="189"/>
      <c r="K56" s="3"/>
      <c r="L56" s="3"/>
      <c r="M56" s="3"/>
      <c r="N56" s="3"/>
      <c r="O56" s="3"/>
      <c r="P56" s="3"/>
      <c r="Q56" s="63"/>
      <c r="R56" s="4"/>
    </row>
    <row r="57" spans="1:19" x14ac:dyDescent="0.25">
      <c r="A57" s="135" t="s">
        <v>72</v>
      </c>
      <c r="B57" s="122"/>
      <c r="C57" s="3"/>
      <c r="D57" s="3"/>
      <c r="E57" s="3"/>
      <c r="F57" s="3"/>
      <c r="G57" s="3"/>
      <c r="H57" s="3"/>
      <c r="I57" s="123"/>
      <c r="J57" s="3"/>
      <c r="K57" s="3"/>
      <c r="L57" s="3"/>
      <c r="M57" s="3"/>
      <c r="N57" s="3"/>
      <c r="O57" s="3"/>
      <c r="P57" s="3"/>
      <c r="Q57" s="3"/>
      <c r="R57" s="4"/>
    </row>
    <row r="58" spans="1:19" x14ac:dyDescent="0.25">
      <c r="A58" s="135" t="s">
        <v>73</v>
      </c>
      <c r="B58" s="122"/>
      <c r="C58" s="3"/>
      <c r="D58" s="3"/>
      <c r="E58" s="3"/>
      <c r="F58" s="3"/>
      <c r="G58" s="3"/>
      <c r="H58" s="3"/>
      <c r="I58" s="123"/>
      <c r="J58" s="3"/>
      <c r="K58" s="3"/>
      <c r="L58" s="3"/>
      <c r="M58" s="3"/>
      <c r="N58" s="3"/>
      <c r="O58" s="3"/>
      <c r="P58" s="3"/>
      <c r="Q58" s="3"/>
      <c r="R58" s="4"/>
    </row>
    <row r="59" spans="1:19" x14ac:dyDescent="0.25">
      <c r="A59" s="135" t="s">
        <v>75</v>
      </c>
      <c r="B59" s="122"/>
      <c r="C59" s="3"/>
      <c r="D59" s="3"/>
      <c r="E59" s="3"/>
      <c r="F59" s="3"/>
      <c r="G59" s="3"/>
      <c r="H59" s="3"/>
      <c r="I59" s="123"/>
      <c r="J59" s="3"/>
      <c r="K59" s="3"/>
      <c r="L59" s="3"/>
      <c r="M59" s="3"/>
      <c r="N59" s="3"/>
      <c r="O59" s="3"/>
      <c r="P59" s="3"/>
      <c r="Q59" s="3"/>
      <c r="R59" s="4"/>
    </row>
    <row r="60" spans="1:19" x14ac:dyDescent="0.25">
      <c r="A60" s="135" t="s">
        <v>74</v>
      </c>
      <c r="B60" s="122"/>
      <c r="C60" s="3"/>
      <c r="D60" s="3"/>
      <c r="E60" s="3"/>
      <c r="F60" s="3"/>
      <c r="G60" s="3"/>
      <c r="H60" s="3"/>
      <c r="I60" s="123"/>
      <c r="J60" s="3"/>
      <c r="K60" s="3"/>
      <c r="L60" s="3"/>
      <c r="M60" s="3"/>
      <c r="N60" s="3"/>
      <c r="O60" s="3"/>
      <c r="P60" s="3"/>
      <c r="Q60" s="3"/>
      <c r="R60" s="4"/>
    </row>
    <row r="61" spans="1:19" ht="15.75" thickBot="1" x14ac:dyDescent="0.3">
      <c r="A61" s="2"/>
      <c r="B61" s="122"/>
      <c r="C61" s="3"/>
      <c r="D61" s="3"/>
      <c r="E61" s="3"/>
      <c r="F61" s="3"/>
      <c r="G61" s="3"/>
      <c r="H61" s="3"/>
      <c r="I61" s="123"/>
      <c r="J61" s="3"/>
      <c r="K61" s="3"/>
      <c r="L61" s="3"/>
      <c r="M61" s="3"/>
      <c r="N61" s="3"/>
      <c r="O61" s="3"/>
      <c r="P61" s="3"/>
      <c r="Q61" s="3"/>
      <c r="R61" s="4"/>
    </row>
    <row r="62" spans="1:19" ht="30" x14ac:dyDescent="0.25">
      <c r="A62" s="150" t="s">
        <v>76</v>
      </c>
      <c r="B62" s="149" t="s">
        <v>77</v>
      </c>
      <c r="C62" s="145"/>
      <c r="D62" s="145"/>
      <c r="E62" s="145"/>
      <c r="F62" s="145"/>
      <c r="G62" s="145"/>
      <c r="H62" s="145"/>
      <c r="I62" s="146"/>
      <c r="J62" s="145"/>
      <c r="K62" s="145"/>
      <c r="L62" s="145"/>
      <c r="M62" s="145"/>
      <c r="N62" s="145"/>
      <c r="O62" s="145"/>
      <c r="P62" s="145"/>
      <c r="Q62" s="145"/>
      <c r="R62" s="49"/>
    </row>
    <row r="63" spans="1:19" s="203" customFormat="1" x14ac:dyDescent="0.25">
      <c r="A63" s="190" t="s">
        <v>78</v>
      </c>
      <c r="B63" s="191"/>
      <c r="C63" s="191"/>
      <c r="D63" s="191"/>
      <c r="E63" s="191"/>
      <c r="F63" s="191"/>
      <c r="G63" s="191"/>
      <c r="H63" s="191"/>
      <c r="I63" s="192"/>
      <c r="J63" s="191"/>
      <c r="K63" s="191"/>
      <c r="L63" s="191"/>
      <c r="M63" s="191"/>
      <c r="N63" s="191"/>
      <c r="O63" s="191"/>
      <c r="P63" s="191"/>
      <c r="Q63" s="193"/>
      <c r="R63" s="202" t="s">
        <v>0</v>
      </c>
    </row>
    <row r="64" spans="1:19" s="203" customFormat="1" x14ac:dyDescent="0.25">
      <c r="A64" s="194" t="s">
        <v>79</v>
      </c>
      <c r="B64" s="195"/>
      <c r="C64" s="195"/>
      <c r="D64" s="195"/>
      <c r="E64" s="195"/>
      <c r="F64" s="195"/>
      <c r="G64" s="195"/>
      <c r="H64" s="195"/>
      <c r="I64" s="196"/>
      <c r="J64" s="195"/>
      <c r="K64" s="195"/>
      <c r="L64" s="195"/>
      <c r="M64" s="195"/>
      <c r="N64" s="195"/>
      <c r="O64" s="195"/>
      <c r="P64" s="195"/>
      <c r="Q64" s="197"/>
      <c r="R64" s="202" t="s">
        <v>0</v>
      </c>
    </row>
    <row r="65" spans="1:18" s="203" customFormat="1" x14ac:dyDescent="0.25">
      <c r="A65" s="194" t="s">
        <v>80</v>
      </c>
      <c r="B65" s="195"/>
      <c r="C65" s="195"/>
      <c r="D65" s="195"/>
      <c r="E65" s="195"/>
      <c r="F65" s="195"/>
      <c r="G65" s="195"/>
      <c r="H65" s="195"/>
      <c r="I65" s="196"/>
      <c r="J65" s="195"/>
      <c r="K65" s="195"/>
      <c r="L65" s="195"/>
      <c r="M65" s="195"/>
      <c r="N65" s="195"/>
      <c r="O65" s="195"/>
      <c r="P65" s="195"/>
      <c r="Q65" s="197"/>
      <c r="R65" s="202" t="s">
        <v>0</v>
      </c>
    </row>
    <row r="66" spans="1:18" s="203" customFormat="1" x14ac:dyDescent="0.25">
      <c r="A66" s="194" t="s">
        <v>81</v>
      </c>
      <c r="B66" s="195"/>
      <c r="C66" s="195"/>
      <c r="D66" s="195"/>
      <c r="E66" s="195"/>
      <c r="F66" s="195"/>
      <c r="G66" s="195"/>
      <c r="H66" s="195"/>
      <c r="I66" s="196"/>
      <c r="J66" s="195"/>
      <c r="K66" s="195"/>
      <c r="L66" s="195"/>
      <c r="M66" s="195"/>
      <c r="N66" s="195"/>
      <c r="O66" s="195"/>
      <c r="P66" s="195"/>
      <c r="Q66" s="197"/>
      <c r="R66" s="202" t="s">
        <v>0</v>
      </c>
    </row>
    <row r="67" spans="1:18" s="203" customFormat="1" x14ac:dyDescent="0.25">
      <c r="A67" s="194" t="s">
        <v>82</v>
      </c>
      <c r="B67" s="195"/>
      <c r="C67" s="195"/>
      <c r="D67" s="195"/>
      <c r="E67" s="195"/>
      <c r="F67" s="195"/>
      <c r="G67" s="195"/>
      <c r="H67" s="195"/>
      <c r="I67" s="196"/>
      <c r="J67" s="195"/>
      <c r="K67" s="195"/>
      <c r="L67" s="195"/>
      <c r="M67" s="195"/>
      <c r="N67" s="195"/>
      <c r="O67" s="195"/>
      <c r="P67" s="195"/>
      <c r="Q67" s="197"/>
      <c r="R67" s="202" t="s">
        <v>0</v>
      </c>
    </row>
    <row r="68" spans="1:18" s="203" customFormat="1" x14ac:dyDescent="0.25">
      <c r="A68" s="194" t="s">
        <v>83</v>
      </c>
      <c r="B68" s="195"/>
      <c r="C68" s="195"/>
      <c r="D68" s="195"/>
      <c r="E68" s="195"/>
      <c r="F68" s="195"/>
      <c r="G68" s="195"/>
      <c r="H68" s="195"/>
      <c r="I68" s="196"/>
      <c r="J68" s="195"/>
      <c r="K68" s="195"/>
      <c r="L68" s="195"/>
      <c r="M68" s="195"/>
      <c r="N68" s="195"/>
      <c r="O68" s="195"/>
      <c r="P68" s="195"/>
      <c r="Q68" s="197"/>
      <c r="R68" s="202" t="s">
        <v>0</v>
      </c>
    </row>
    <row r="69" spans="1:18" s="203" customFormat="1" x14ac:dyDescent="0.25">
      <c r="A69" s="194" t="s">
        <v>84</v>
      </c>
      <c r="B69" s="195"/>
      <c r="C69" s="195"/>
      <c r="D69" s="195"/>
      <c r="E69" s="195"/>
      <c r="F69" s="195"/>
      <c r="G69" s="195"/>
      <c r="H69" s="195"/>
      <c r="I69" s="196"/>
      <c r="J69" s="195"/>
      <c r="K69" s="195"/>
      <c r="L69" s="195"/>
      <c r="M69" s="195"/>
      <c r="N69" s="195"/>
      <c r="O69" s="195"/>
      <c r="P69" s="195"/>
      <c r="Q69" s="197"/>
      <c r="R69" s="202" t="s">
        <v>0</v>
      </c>
    </row>
    <row r="70" spans="1:18" s="203" customFormat="1" x14ac:dyDescent="0.25">
      <c r="A70" s="194" t="s">
        <v>85</v>
      </c>
      <c r="B70" s="195"/>
      <c r="C70" s="195"/>
      <c r="D70" s="195"/>
      <c r="E70" s="195"/>
      <c r="F70" s="195"/>
      <c r="G70" s="195"/>
      <c r="H70" s="195"/>
      <c r="I70" s="196"/>
      <c r="J70" s="195"/>
      <c r="K70" s="195"/>
      <c r="L70" s="195"/>
      <c r="M70" s="195"/>
      <c r="N70" s="195"/>
      <c r="O70" s="195"/>
      <c r="P70" s="195"/>
      <c r="Q70" s="197"/>
      <c r="R70" s="202" t="s">
        <v>0</v>
      </c>
    </row>
    <row r="71" spans="1:18" s="203" customFormat="1" x14ac:dyDescent="0.25">
      <c r="A71" s="194" t="s">
        <v>86</v>
      </c>
      <c r="B71" s="195"/>
      <c r="C71" s="195"/>
      <c r="D71" s="195"/>
      <c r="E71" s="195"/>
      <c r="F71" s="195"/>
      <c r="G71" s="195"/>
      <c r="H71" s="195"/>
      <c r="I71" s="196"/>
      <c r="J71" s="195"/>
      <c r="K71" s="195"/>
      <c r="L71" s="195"/>
      <c r="M71" s="195"/>
      <c r="N71" s="195"/>
      <c r="O71" s="195"/>
      <c r="P71" s="195"/>
      <c r="Q71" s="197"/>
      <c r="R71" s="202" t="s">
        <v>0</v>
      </c>
    </row>
    <row r="72" spans="1:18" s="203" customFormat="1" x14ac:dyDescent="0.25">
      <c r="A72" s="194" t="s">
        <v>87</v>
      </c>
      <c r="B72" s="195"/>
      <c r="C72" s="195"/>
      <c r="D72" s="195"/>
      <c r="E72" s="195"/>
      <c r="F72" s="195"/>
      <c r="G72" s="195"/>
      <c r="H72" s="195"/>
      <c r="I72" s="196"/>
      <c r="J72" s="195"/>
      <c r="K72" s="195"/>
      <c r="L72" s="195"/>
      <c r="M72" s="195"/>
      <c r="N72" s="195"/>
      <c r="O72" s="195"/>
      <c r="P72" s="195"/>
      <c r="Q72" s="197"/>
      <c r="R72" s="202" t="s">
        <v>0</v>
      </c>
    </row>
    <row r="73" spans="1:18" s="203" customFormat="1" x14ac:dyDescent="0.25">
      <c r="A73" s="198" t="s">
        <v>88</v>
      </c>
      <c r="B73" s="199"/>
      <c r="C73" s="199"/>
      <c r="D73" s="199"/>
      <c r="E73" s="199"/>
      <c r="F73" s="199"/>
      <c r="G73" s="199"/>
      <c r="H73" s="199"/>
      <c r="I73" s="200"/>
      <c r="J73" s="199"/>
      <c r="K73" s="199"/>
      <c r="L73" s="199"/>
      <c r="M73" s="199"/>
      <c r="N73" s="199"/>
      <c r="O73" s="199"/>
      <c r="P73" s="199"/>
      <c r="Q73" s="201"/>
      <c r="R73" s="202" t="s">
        <v>0</v>
      </c>
    </row>
    <row r="74" spans="1:18" ht="15.75" thickBot="1" x14ac:dyDescent="0.3">
      <c r="A74" s="151" t="s">
        <v>89</v>
      </c>
      <c r="B74" s="147">
        <f t="shared" ref="B74:Q74" si="26">SUM(B63:B73)</f>
        <v>0</v>
      </c>
      <c r="C74" s="147">
        <f t="shared" si="26"/>
        <v>0</v>
      </c>
      <c r="D74" s="147">
        <f t="shared" si="26"/>
        <v>0</v>
      </c>
      <c r="E74" s="147">
        <f t="shared" si="26"/>
        <v>0</v>
      </c>
      <c r="F74" s="147">
        <f t="shared" si="26"/>
        <v>0</v>
      </c>
      <c r="G74" s="147">
        <f t="shared" si="26"/>
        <v>0</v>
      </c>
      <c r="H74" s="147">
        <f t="shared" si="26"/>
        <v>0</v>
      </c>
      <c r="I74" s="148">
        <f t="shared" si="26"/>
        <v>0</v>
      </c>
      <c r="J74" s="147">
        <f t="shared" si="26"/>
        <v>0</v>
      </c>
      <c r="K74" s="147">
        <f t="shared" si="26"/>
        <v>0</v>
      </c>
      <c r="L74" s="147">
        <f t="shared" si="26"/>
        <v>0</v>
      </c>
      <c r="M74" s="147">
        <f t="shared" si="26"/>
        <v>0</v>
      </c>
      <c r="N74" s="147">
        <f t="shared" si="26"/>
        <v>0</v>
      </c>
      <c r="O74" s="147">
        <f t="shared" si="26"/>
        <v>0</v>
      </c>
      <c r="P74" s="147">
        <f t="shared" si="26"/>
        <v>0</v>
      </c>
      <c r="Q74" s="147">
        <f t="shared" si="26"/>
        <v>0</v>
      </c>
      <c r="R74" s="51"/>
    </row>
    <row r="75" spans="1:18" x14ac:dyDescent="0.25">
      <c r="A75" s="164" t="s">
        <v>90</v>
      </c>
      <c r="B75" s="165" t="e">
        <f>(SUM(B63:Q67)*6)/R48</f>
        <v>#DIV/0!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7"/>
    </row>
  </sheetData>
  <sheetProtection insertRows="0"/>
  <mergeCells count="13">
    <mergeCell ref="C8:H8"/>
    <mergeCell ref="C7:H7"/>
    <mergeCell ref="P18:Q18"/>
    <mergeCell ref="B16:R16"/>
    <mergeCell ref="B17:I17"/>
    <mergeCell ref="J17:R17"/>
    <mergeCell ref="B18:C18"/>
    <mergeCell ref="D18:E18"/>
    <mergeCell ref="F18:G18"/>
    <mergeCell ref="H18:I18"/>
    <mergeCell ref="J18:K18"/>
    <mergeCell ref="L18:M18"/>
    <mergeCell ref="N18:O18"/>
  </mergeCells>
  <conditionalFormatting sqref="B29:I29">
    <cfRule type="cellIs" dxfId="11" priority="5" operator="greaterThan">
      <formula>3000</formula>
    </cfRule>
  </conditionalFormatting>
  <conditionalFormatting sqref="B55:R55 B56:Q61">
    <cfRule type="cellIs" dxfId="10" priority="14" operator="lessThan">
      <formula>0</formula>
    </cfRule>
  </conditionalFormatting>
  <conditionalFormatting sqref="C28">
    <cfRule type="cellIs" dxfId="9" priority="13" operator="lessThan">
      <formula>0.05</formula>
    </cfRule>
  </conditionalFormatting>
  <conditionalFormatting sqref="E28">
    <cfRule type="cellIs" dxfId="8" priority="12" operator="lessThan">
      <formula>0.25</formula>
    </cfRule>
  </conditionalFormatting>
  <conditionalFormatting sqref="F43:Q44">
    <cfRule type="cellIs" dxfId="7" priority="10" operator="greaterThan">
      <formula>0.22</formula>
    </cfRule>
  </conditionalFormatting>
  <conditionalFormatting sqref="G5">
    <cfRule type="expression" dxfId="6" priority="1">
      <formula>G5=0</formula>
    </cfRule>
    <cfRule type="expression" dxfId="5" priority="2">
      <formula>OR(H5&lt;=98%)</formula>
    </cfRule>
    <cfRule type="expression" dxfId="4" priority="4">
      <formula>OR(G5&lt;0,H5&gt;98%)</formula>
    </cfRule>
  </conditionalFormatting>
  <conditionalFormatting sqref="G28">
    <cfRule type="cellIs" dxfId="3" priority="7" operator="lessThan">
      <formula>0.4</formula>
    </cfRule>
  </conditionalFormatting>
  <conditionalFormatting sqref="I28">
    <cfRule type="cellIs" dxfId="2" priority="9" operator="lessThan">
      <formula>0.6</formula>
    </cfRule>
  </conditionalFormatting>
  <conditionalFormatting sqref="R2:R10">
    <cfRule type="beginsWith" dxfId="1" priority="3" operator="beginsWith" text="FA">
      <formula>LEFT(R2,LEN("FA"))="FA"</formula>
    </cfRule>
  </conditionalFormatting>
  <conditionalFormatting sqref="R53">
    <cfRule type="cellIs" dxfId="0" priority="6" operator="greaterThan">
      <formula>$R$48*10%</formula>
    </cfRule>
  </conditionalFormatting>
  <printOptions horizontalCentered="1" verticalCentered="1"/>
  <pageMargins left="0.25" right="0.25" top="0.75" bottom="0.75" header="0.3" footer="0.3"/>
  <pageSetup paperSize="9" scale="4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Option Button 18">
              <controlPr defaultSize="0" autoFill="0" autoLine="0" autoPict="0" altText="Co-Investment Model (standard) or Mixed Model">
                <anchor moveWithCells="1">
                  <from>
                    <xdr:col>1</xdr:col>
                    <xdr:colOff>257175</xdr:colOff>
                    <xdr:row>6</xdr:row>
                    <xdr:rowOff>19050</xdr:rowOff>
                  </from>
                  <to>
                    <xdr:col>6</xdr:col>
                    <xdr:colOff>962025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Option Button 19">
              <controlPr defaultSize="0" autoFill="0" autoLine="0" autoPict="0">
                <anchor moveWithCells="1">
                  <from>
                    <xdr:col>1</xdr:col>
                    <xdr:colOff>257175</xdr:colOff>
                    <xdr:row>6</xdr:row>
                    <xdr:rowOff>142875</xdr:rowOff>
                  </from>
                  <to>
                    <xdr:col>7</xdr:col>
                    <xdr:colOff>542925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6a7e4972-a3b7-4d51-a933-10309688c2b7}" enabled="1" method="Privileged" siteId="{0d2b6bbb-a69c-41e8-9ef1-c035572bd00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Harmonogram_koinwest.</vt:lpstr>
      <vt:lpstr>Harmonogram_koinwest.!Obszar_wydruku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2026-05-22T13:16:47Z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jaroslaw.wieckowski@pfrventures.pl</vt:lpwstr>
  </property>
  <property fmtid="{D5CDD505-2E9C-101B-9397-08002B2CF9AE}" pid="6" name="MSIP_Label_6a7e4972-a3b7-4d51-a933-10309688c2b7_SetDate">
    <vt:lpwstr>2017-11-08T16:16:03.5233321+01:00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